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Default Extension="vml" ContentType="application/vnd.openxmlformats-officedocument.vmlDrawing"/>
  <Override PartName="/xl/comments1.xml" ContentType="application/vnd.openxmlformats-officedocument.spreadsheetml.comments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pivotCache/pivotCacheRecords1.xml" ContentType="application/vnd.openxmlformats-officedocument.spreadsheetml.pivotCacheRecord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EstaPasta_de_trabalho"/>
  <bookViews>
    <workbookView xWindow="0" yWindow="0" windowWidth="2310" windowHeight="930" tabRatio="802" activeTab="9"/>
  </bookViews>
  <sheets>
    <sheet name="NOTAS" sheetId="1" r:id="rId1"/>
    <sheet name="NOTAS 80%" sheetId="9" r:id="rId2"/>
    <sheet name="IR" sheetId="8" r:id="rId3"/>
    <sheet name="VOLAT-TENDENCIA" sheetId="3" r:id="rId4"/>
    <sheet name="TRAVA BAIXA" sheetId="4" r:id="rId5"/>
    <sheet name="TRAVA BAIXA NEW" sheetId="6" r:id="rId6"/>
    <sheet name="BORBOLETA" sheetId="5" r:id="rId7"/>
    <sheet name="Plan1" sheetId="7" r:id="rId8"/>
    <sheet name="SETUP" sheetId="2" r:id="rId9"/>
    <sheet name="Plan2" sheetId="10" r:id="rId10"/>
    <sheet name="Plan4" sheetId="12" r:id="rId11"/>
    <sheet name="Plan6" sheetId="14" r:id="rId12"/>
  </sheets>
  <calcPr calcId="124519"/>
  <pivotCaches>
    <pivotCache cacheId="15" r:id="rId13"/>
  </pivotCaches>
</workbook>
</file>

<file path=xl/calcChain.xml><?xml version="1.0" encoding="utf-8"?>
<calcChain xmlns="http://schemas.openxmlformats.org/spreadsheetml/2006/main">
  <c r="W3" i="10"/>
  <c r="W4"/>
  <c r="W5"/>
  <c r="W6"/>
  <c r="W7"/>
  <c r="W8"/>
  <c r="W9"/>
  <c r="W10"/>
  <c r="W11"/>
  <c r="W12"/>
  <c r="W13"/>
  <c r="W14"/>
  <c r="W15"/>
  <c r="W16"/>
  <c r="W17"/>
  <c r="W18"/>
  <c r="W19"/>
  <c r="W20"/>
  <c r="W21"/>
  <c r="W22"/>
  <c r="W2"/>
  <c r="V3"/>
  <c r="V4"/>
  <c r="V5"/>
  <c r="V6"/>
  <c r="V7"/>
  <c r="V8"/>
  <c r="V9"/>
  <c r="V10"/>
  <c r="V11"/>
  <c r="V12"/>
  <c r="V13"/>
  <c r="V14"/>
  <c r="V15"/>
  <c r="V16"/>
  <c r="V17"/>
  <c r="V18"/>
  <c r="V19"/>
  <c r="V20"/>
  <c r="V21"/>
  <c r="V22"/>
  <c r="V2"/>
  <c r="U3"/>
  <c r="U4"/>
  <c r="U5"/>
  <c r="U6"/>
  <c r="U7"/>
  <c r="U8"/>
  <c r="U9"/>
  <c r="U10"/>
  <c r="U11"/>
  <c r="U12"/>
  <c r="U13"/>
  <c r="U14"/>
  <c r="U15"/>
  <c r="U16"/>
  <c r="U17"/>
  <c r="U18"/>
  <c r="U19"/>
  <c r="U20"/>
  <c r="U21"/>
  <c r="U22"/>
  <c r="U2"/>
  <c r="S22"/>
  <c r="T22"/>
  <c r="S16"/>
  <c r="T16"/>
  <c r="S17"/>
  <c r="T17"/>
  <c r="S18"/>
  <c r="T18"/>
  <c r="S19"/>
  <c r="T19"/>
  <c r="S20"/>
  <c r="T20"/>
  <c r="S21"/>
  <c r="T21"/>
  <c r="S11"/>
  <c r="T11"/>
  <c r="S12"/>
  <c r="T12"/>
  <c r="S13"/>
  <c r="T13"/>
  <c r="S14"/>
  <c r="T14"/>
  <c r="S15"/>
  <c r="T15"/>
  <c r="S6"/>
  <c r="T6"/>
  <c r="S7"/>
  <c r="T7"/>
  <c r="S8"/>
  <c r="T8"/>
  <c r="S9"/>
  <c r="T9"/>
  <c r="S10"/>
  <c r="T10"/>
  <c r="S5"/>
  <c r="T5" s="1"/>
  <c r="T4"/>
  <c r="S4"/>
  <c r="T3"/>
  <c r="S3"/>
  <c r="T2"/>
  <c r="B16"/>
  <c r="B2" i="3"/>
  <c r="B3"/>
  <c r="B4"/>
  <c r="B5"/>
  <c r="B12" i="10" l="1"/>
  <c r="B15" l="1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B3"/>
  <c r="B4"/>
  <c r="B5"/>
  <c r="B6"/>
  <c r="B7"/>
  <c r="B8"/>
  <c r="B9"/>
  <c r="B10"/>
  <c r="B11"/>
  <c r="B13"/>
  <c r="B14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2"/>
  <c r="F2"/>
  <c r="C3"/>
  <c r="C4"/>
  <c r="C5"/>
  <c r="C6"/>
  <c r="C7"/>
  <c r="C8"/>
  <c r="C9"/>
  <c r="C10"/>
  <c r="C11"/>
  <c r="C12"/>
  <c r="C13"/>
  <c r="C14"/>
  <c r="C15"/>
  <c r="C16"/>
  <c r="D16" s="1"/>
  <c r="C17"/>
  <c r="D17" s="1"/>
  <c r="E17" s="1"/>
  <c r="C18"/>
  <c r="D18" s="1"/>
  <c r="E18" s="1"/>
  <c r="C19"/>
  <c r="D19" s="1"/>
  <c r="E19" s="1"/>
  <c r="C20"/>
  <c r="D20" s="1"/>
  <c r="E20" s="1"/>
  <c r="C21"/>
  <c r="D21" s="1"/>
  <c r="E21" s="1"/>
  <c r="C22"/>
  <c r="D22" s="1"/>
  <c r="E22" s="1"/>
  <c r="C23"/>
  <c r="D23" s="1"/>
  <c r="E23" s="1"/>
  <c r="C24"/>
  <c r="D24" s="1"/>
  <c r="E24" s="1"/>
  <c r="C25"/>
  <c r="D25" s="1"/>
  <c r="E25" s="1"/>
  <c r="C26"/>
  <c r="D26" s="1"/>
  <c r="C27"/>
  <c r="D27" s="1"/>
  <c r="E27" s="1"/>
  <c r="C28"/>
  <c r="D28" s="1"/>
  <c r="E28" s="1"/>
  <c r="C29"/>
  <c r="D29" s="1"/>
  <c r="E29" s="1"/>
  <c r="C30"/>
  <c r="D30" s="1"/>
  <c r="E30" s="1"/>
  <c r="C31"/>
  <c r="D31" s="1"/>
  <c r="E31" s="1"/>
  <c r="C32"/>
  <c r="D32" s="1"/>
  <c r="E32" s="1"/>
  <c r="C33"/>
  <c r="D33" s="1"/>
  <c r="E33" s="1"/>
  <c r="C34"/>
  <c r="D34" s="1"/>
  <c r="E34" s="1"/>
  <c r="C35"/>
  <c r="D35" s="1"/>
  <c r="E35" s="1"/>
  <c r="C36"/>
  <c r="D36" s="1"/>
  <c r="E36" s="1"/>
  <c r="C37"/>
  <c r="D37" s="1"/>
  <c r="E37" s="1"/>
  <c r="C38"/>
  <c r="D38" s="1"/>
  <c r="E38" s="1"/>
  <c r="C39"/>
  <c r="D39" s="1"/>
  <c r="E39" s="1"/>
  <c r="C40"/>
  <c r="D40" s="1"/>
  <c r="E40" s="1"/>
  <c r="C41"/>
  <c r="D41" s="1"/>
  <c r="E41" s="1"/>
  <c r="C42"/>
  <c r="D42" s="1"/>
  <c r="E42" s="1"/>
  <c r="C43"/>
  <c r="D43" s="1"/>
  <c r="E43" s="1"/>
  <c r="C44"/>
  <c r="D44" s="1"/>
  <c r="E44" s="1"/>
  <c r="C45"/>
  <c r="D45" s="1"/>
  <c r="E45" s="1"/>
  <c r="C46"/>
  <c r="D46" s="1"/>
  <c r="E46" s="1"/>
  <c r="C47"/>
  <c r="D47" s="1"/>
  <c r="E47" s="1"/>
  <c r="C48"/>
  <c r="D48" s="1"/>
  <c r="E48" s="1"/>
  <c r="C49"/>
  <c r="D49" s="1"/>
  <c r="E49" s="1"/>
  <c r="C50"/>
  <c r="D50" s="1"/>
  <c r="E50" s="1"/>
  <c r="C51"/>
  <c r="D51" s="1"/>
  <c r="E51" s="1"/>
  <c r="C52"/>
  <c r="D52" s="1"/>
  <c r="E52" s="1"/>
  <c r="C53"/>
  <c r="D53" s="1"/>
  <c r="E53" s="1"/>
  <c r="C54"/>
  <c r="D54" s="1"/>
  <c r="E54" s="1"/>
  <c r="C55"/>
  <c r="D55" s="1"/>
  <c r="E55" s="1"/>
  <c r="C56"/>
  <c r="D56" s="1"/>
  <c r="E56" s="1"/>
  <c r="C57"/>
  <c r="D57" s="1"/>
  <c r="E57" s="1"/>
  <c r="C58"/>
  <c r="D58" s="1"/>
  <c r="E58" s="1"/>
  <c r="C59"/>
  <c r="D59" s="1"/>
  <c r="E59" s="1"/>
  <c r="C60"/>
  <c r="D60" s="1"/>
  <c r="E60" s="1"/>
  <c r="C61"/>
  <c r="D61" s="1"/>
  <c r="E61" s="1"/>
  <c r="C62"/>
  <c r="D62" s="1"/>
  <c r="E62" s="1"/>
  <c r="C63"/>
  <c r="D63" s="1"/>
  <c r="E63" s="1"/>
  <c r="C64"/>
  <c r="D64" s="1"/>
  <c r="E64" s="1"/>
  <c r="C65"/>
  <c r="D65" s="1"/>
  <c r="E65" s="1"/>
  <c r="C66"/>
  <c r="D66" s="1"/>
  <c r="E66" s="1"/>
  <c r="C67"/>
  <c r="D67" s="1"/>
  <c r="E67" s="1"/>
  <c r="C68"/>
  <c r="D68" s="1"/>
  <c r="E68" s="1"/>
  <c r="C69"/>
  <c r="D69" s="1"/>
  <c r="E69" s="1"/>
  <c r="C70"/>
  <c r="D70" s="1"/>
  <c r="E70" s="1"/>
  <c r="C71"/>
  <c r="D71" s="1"/>
  <c r="E71" s="1"/>
  <c r="C72"/>
  <c r="D72" s="1"/>
  <c r="E72" s="1"/>
  <c r="C73"/>
  <c r="D73" s="1"/>
  <c r="E73" s="1"/>
  <c r="C74"/>
  <c r="D74" s="1"/>
  <c r="E74" s="1"/>
  <c r="C75"/>
  <c r="D75" s="1"/>
  <c r="E75" s="1"/>
  <c r="C76"/>
  <c r="D76" s="1"/>
  <c r="E76" s="1"/>
  <c r="C77"/>
  <c r="D77" s="1"/>
  <c r="E77" s="1"/>
  <c r="C78"/>
  <c r="D78" s="1"/>
  <c r="E78" s="1"/>
  <c r="C79"/>
  <c r="D79" s="1"/>
  <c r="E79" s="1"/>
  <c r="C80"/>
  <c r="D80" s="1"/>
  <c r="E80" s="1"/>
  <c r="C2"/>
  <c r="D2" s="1"/>
  <c r="G80"/>
  <c r="G79"/>
  <c r="G77"/>
  <c r="G78"/>
  <c r="H78" s="1"/>
  <c r="G76"/>
  <c r="G75"/>
  <c r="G74"/>
  <c r="G73"/>
  <c r="G68"/>
  <c r="G69"/>
  <c r="H69" s="1"/>
  <c r="G70"/>
  <c r="H70" s="1"/>
  <c r="G71"/>
  <c r="H71" s="1"/>
  <c r="G72"/>
  <c r="H72" s="1"/>
  <c r="G62"/>
  <c r="G63"/>
  <c r="H63" s="1"/>
  <c r="G64"/>
  <c r="H64" s="1"/>
  <c r="G65"/>
  <c r="H65" s="1"/>
  <c r="G66"/>
  <c r="H66" s="1"/>
  <c r="G67"/>
  <c r="H67" s="1"/>
  <c r="G50"/>
  <c r="G51"/>
  <c r="H51" s="1"/>
  <c r="G52"/>
  <c r="H52" s="1"/>
  <c r="G53"/>
  <c r="H53" s="1"/>
  <c r="G54"/>
  <c r="H54" s="1"/>
  <c r="G55"/>
  <c r="H55" s="1"/>
  <c r="G56"/>
  <c r="H56" s="1"/>
  <c r="G57"/>
  <c r="H57" s="1"/>
  <c r="G58"/>
  <c r="H58" s="1"/>
  <c r="G59"/>
  <c r="H59" s="1"/>
  <c r="G60"/>
  <c r="H60" s="1"/>
  <c r="G61"/>
  <c r="H61" s="1"/>
  <c r="G34"/>
  <c r="G35"/>
  <c r="H35" s="1"/>
  <c r="G36"/>
  <c r="H36" s="1"/>
  <c r="G37"/>
  <c r="H37" s="1"/>
  <c r="G38"/>
  <c r="H38" s="1"/>
  <c r="G39"/>
  <c r="H39" s="1"/>
  <c r="G40"/>
  <c r="H40" s="1"/>
  <c r="G41"/>
  <c r="H41" s="1"/>
  <c r="G42"/>
  <c r="H42" s="1"/>
  <c r="G43"/>
  <c r="H43" s="1"/>
  <c r="G44"/>
  <c r="H44" s="1"/>
  <c r="G45"/>
  <c r="H45" s="1"/>
  <c r="G46"/>
  <c r="H46" s="1"/>
  <c r="G47"/>
  <c r="H47" s="1"/>
  <c r="G48"/>
  <c r="H48" s="1"/>
  <c r="G49"/>
  <c r="H49" s="1"/>
  <c r="G33"/>
  <c r="G30"/>
  <c r="G31"/>
  <c r="H31" s="1"/>
  <c r="G32"/>
  <c r="H32" s="1"/>
  <c r="G27"/>
  <c r="G28"/>
  <c r="H28" s="1"/>
  <c r="G29"/>
  <c r="H29" s="1"/>
  <c r="G26"/>
  <c r="G24"/>
  <c r="G25"/>
  <c r="H25" s="1"/>
  <c r="G22"/>
  <c r="G23"/>
  <c r="H23" s="1"/>
  <c r="G19"/>
  <c r="G20"/>
  <c r="H20" s="1"/>
  <c r="G21"/>
  <c r="H21" s="1"/>
  <c r="G17"/>
  <c r="G18"/>
  <c r="H18" s="1"/>
  <c r="G16"/>
  <c r="K95" i="1"/>
  <c r="L95"/>
  <c r="N95"/>
  <c r="S95"/>
  <c r="AB95"/>
  <c r="AC95"/>
  <c r="AH95"/>
  <c r="AI95"/>
  <c r="AJ95"/>
  <c r="K94"/>
  <c r="L94"/>
  <c r="N94"/>
  <c r="S94"/>
  <c r="AB94"/>
  <c r="AC94"/>
  <c r="AE94"/>
  <c r="AH94"/>
  <c r="AI94"/>
  <c r="AJ94"/>
  <c r="H17" i="10" l="1"/>
  <c r="H19"/>
  <c r="H22"/>
  <c r="H24"/>
  <c r="H26"/>
  <c r="H27"/>
  <c r="H30"/>
  <c r="H33"/>
  <c r="H34"/>
  <c r="H50"/>
  <c r="H62"/>
  <c r="H68"/>
  <c r="H73"/>
  <c r="H74"/>
  <c r="H75"/>
  <c r="H76"/>
  <c r="H77"/>
  <c r="H79"/>
  <c r="H80"/>
  <c r="E26"/>
  <c r="G2"/>
  <c r="D4"/>
  <c r="D3"/>
  <c r="E4" s="1"/>
  <c r="D15"/>
  <c r="D14"/>
  <c r="D13"/>
  <c r="D12"/>
  <c r="D11"/>
  <c r="D10"/>
  <c r="D9"/>
  <c r="D8"/>
  <c r="D7"/>
  <c r="D6"/>
  <c r="D5"/>
  <c r="E5" s="1"/>
  <c r="G15"/>
  <c r="G14"/>
  <c r="G13"/>
  <c r="G12"/>
  <c r="G11"/>
  <c r="G10"/>
  <c r="G9"/>
  <c r="G8"/>
  <c r="G7"/>
  <c r="G6"/>
  <c r="G5"/>
  <c r="G4"/>
  <c r="G3"/>
  <c r="H3" s="1"/>
  <c r="H5" l="1"/>
  <c r="H6"/>
  <c r="H7"/>
  <c r="H8"/>
  <c r="H9"/>
  <c r="H10"/>
  <c r="H11"/>
  <c r="H12"/>
  <c r="H13"/>
  <c r="H14"/>
  <c r="H15"/>
  <c r="H16"/>
  <c r="H4"/>
  <c r="E6"/>
  <c r="E7"/>
  <c r="E8"/>
  <c r="E9"/>
  <c r="E10"/>
  <c r="E11"/>
  <c r="E12"/>
  <c r="E13"/>
  <c r="E14"/>
  <c r="E15"/>
  <c r="E16"/>
  <c r="E3"/>
  <c r="N5" i="3" l="1"/>
  <c r="O5" s="1"/>
  <c r="N4"/>
  <c r="O4" s="1"/>
  <c r="N1" l="1"/>
  <c r="F5"/>
  <c r="G5"/>
  <c r="H5"/>
  <c r="I5"/>
  <c r="J5"/>
  <c r="K5"/>
  <c r="H3" i="6"/>
  <c r="K3"/>
  <c r="I3" s="1"/>
  <c r="M3"/>
  <c r="N3"/>
  <c r="H2"/>
  <c r="M2" s="1"/>
  <c r="F4" i="3"/>
  <c r="G4"/>
  <c r="H4"/>
  <c r="I4"/>
  <c r="J4"/>
  <c r="K4"/>
  <c r="K2" i="6"/>
  <c r="J2" s="1"/>
  <c r="L2" s="1"/>
  <c r="K93" i="1"/>
  <c r="L93"/>
  <c r="N93"/>
  <c r="S93"/>
  <c r="AB93"/>
  <c r="AC93"/>
  <c r="AH93"/>
  <c r="AI93"/>
  <c r="AJ93"/>
  <c r="K92"/>
  <c r="L92"/>
  <c r="N92"/>
  <c r="S92"/>
  <c r="AB92"/>
  <c r="AC92"/>
  <c r="AE92"/>
  <c r="AH92"/>
  <c r="AI92"/>
  <c r="AJ92"/>
  <c r="J3" i="6" l="1"/>
  <c r="L3" s="1"/>
  <c r="O3" s="1"/>
  <c r="K57" i="9"/>
  <c r="K58"/>
  <c r="L57"/>
  <c r="L58"/>
  <c r="N57"/>
  <c r="N58"/>
  <c r="S58" s="1"/>
  <c r="T58" s="1"/>
  <c r="S57"/>
  <c r="T57" s="1"/>
  <c r="AC57"/>
  <c r="AD57"/>
  <c r="AD58"/>
  <c r="AF57"/>
  <c r="AI58"/>
  <c r="AJ58"/>
  <c r="AK58"/>
  <c r="K56"/>
  <c r="L56" s="1"/>
  <c r="K59"/>
  <c r="L59" s="1"/>
  <c r="N56"/>
  <c r="N59"/>
  <c r="S59" s="1"/>
  <c r="T59" s="1"/>
  <c r="AC56"/>
  <c r="AD56"/>
  <c r="AD59"/>
  <c r="AI56"/>
  <c r="AI59"/>
  <c r="AJ56"/>
  <c r="AJ59"/>
  <c r="AK56"/>
  <c r="AK59"/>
  <c r="AC58" l="1"/>
  <c r="AC59"/>
  <c r="S56"/>
  <c r="T56" s="1"/>
  <c r="K53"/>
  <c r="L53" s="1"/>
  <c r="K54"/>
  <c r="L54" s="1"/>
  <c r="K60"/>
  <c r="L60" s="1"/>
  <c r="K55"/>
  <c r="L55" s="1"/>
  <c r="N53"/>
  <c r="S53" s="1"/>
  <c r="T53" s="1"/>
  <c r="N54"/>
  <c r="AC54" s="1"/>
  <c r="N60"/>
  <c r="S60" s="1"/>
  <c r="T60" s="1"/>
  <c r="N55"/>
  <c r="S55" s="1"/>
  <c r="T55" s="1"/>
  <c r="AC53"/>
  <c r="AC55"/>
  <c r="AD53"/>
  <c r="AD54"/>
  <c r="AD60"/>
  <c r="AD55"/>
  <c r="AE54"/>
  <c r="AF53"/>
  <c r="AI53"/>
  <c r="AI54"/>
  <c r="AI60"/>
  <c r="AI55"/>
  <c r="AJ53"/>
  <c r="AJ54"/>
  <c r="AJ60"/>
  <c r="AJ55"/>
  <c r="AK53"/>
  <c r="AK54"/>
  <c r="AK60"/>
  <c r="AK55"/>
  <c r="K52"/>
  <c r="L52" s="1"/>
  <c r="N52"/>
  <c r="AC52"/>
  <c r="AD52"/>
  <c r="AI52"/>
  <c r="AJ52"/>
  <c r="AK52"/>
  <c r="K50"/>
  <c r="L50" s="1"/>
  <c r="K51"/>
  <c r="L51" s="1"/>
  <c r="K61"/>
  <c r="L61" s="1"/>
  <c r="N50"/>
  <c r="S50" s="1"/>
  <c r="T50" s="1"/>
  <c r="N51"/>
  <c r="AC51" s="1"/>
  <c r="N61"/>
  <c r="AC61" s="1"/>
  <c r="AC50"/>
  <c r="AD50"/>
  <c r="AD51"/>
  <c r="AD61"/>
  <c r="AF50"/>
  <c r="AI50"/>
  <c r="AI51"/>
  <c r="AI61"/>
  <c r="AJ50"/>
  <c r="AJ51"/>
  <c r="AJ61"/>
  <c r="AK50"/>
  <c r="AK51"/>
  <c r="AK61"/>
  <c r="K48"/>
  <c r="L48" s="1"/>
  <c r="K49"/>
  <c r="L49" s="1"/>
  <c r="N48"/>
  <c r="S48" s="1"/>
  <c r="T48" s="1"/>
  <c r="N49"/>
  <c r="S49" s="1"/>
  <c r="T49" s="1"/>
  <c r="AC48"/>
  <c r="AD48"/>
  <c r="AD49"/>
  <c r="AF48"/>
  <c r="AI48"/>
  <c r="AJ48"/>
  <c r="AK48"/>
  <c r="K46"/>
  <c r="L46" s="1"/>
  <c r="K47"/>
  <c r="L47" s="1"/>
  <c r="N46"/>
  <c r="S46" s="1"/>
  <c r="T46" s="1"/>
  <c r="N47"/>
  <c r="S47" s="1"/>
  <c r="T47" s="1"/>
  <c r="AC46"/>
  <c r="AD46"/>
  <c r="AD47"/>
  <c r="AF46"/>
  <c r="AI46"/>
  <c r="AJ46"/>
  <c r="AK46"/>
  <c r="K44"/>
  <c r="L44" s="1"/>
  <c r="K45"/>
  <c r="L45" s="1"/>
  <c r="N44"/>
  <c r="S44" s="1"/>
  <c r="T44" s="1"/>
  <c r="N45"/>
  <c r="S45" s="1"/>
  <c r="T45" s="1"/>
  <c r="AC44"/>
  <c r="AD44"/>
  <c r="AD45"/>
  <c r="AF44"/>
  <c r="AI44"/>
  <c r="AJ44"/>
  <c r="AK44"/>
  <c r="K42"/>
  <c r="L42" s="1"/>
  <c r="K43"/>
  <c r="L43" s="1"/>
  <c r="N42"/>
  <c r="S42" s="1"/>
  <c r="T42" s="1"/>
  <c r="N43"/>
  <c r="S43" s="1"/>
  <c r="T43" s="1"/>
  <c r="AC42"/>
  <c r="AD42"/>
  <c r="AD43"/>
  <c r="AF42"/>
  <c r="AI42"/>
  <c r="AJ42"/>
  <c r="AK42"/>
  <c r="K40"/>
  <c r="L40" s="1"/>
  <c r="K41"/>
  <c r="L41" s="1"/>
  <c r="N40"/>
  <c r="S40" s="1"/>
  <c r="T40" s="1"/>
  <c r="N41"/>
  <c r="S41" s="1"/>
  <c r="T41" s="1"/>
  <c r="AC40"/>
  <c r="AD40"/>
  <c r="AD41"/>
  <c r="AF40"/>
  <c r="AI40"/>
  <c r="AJ40"/>
  <c r="AK40"/>
  <c r="K38"/>
  <c r="L38" s="1"/>
  <c r="K39"/>
  <c r="L39" s="1"/>
  <c r="N38"/>
  <c r="S38" s="1"/>
  <c r="T38" s="1"/>
  <c r="N39"/>
  <c r="S39" s="1"/>
  <c r="T39" s="1"/>
  <c r="AC38"/>
  <c r="AD38"/>
  <c r="AD39"/>
  <c r="AF38"/>
  <c r="AI38"/>
  <c r="AJ38"/>
  <c r="AK38"/>
  <c r="K36"/>
  <c r="L36" s="1"/>
  <c r="K37"/>
  <c r="L37" s="1"/>
  <c r="N36"/>
  <c r="S36" s="1"/>
  <c r="T36" s="1"/>
  <c r="N37"/>
  <c r="S37" s="1"/>
  <c r="T37" s="1"/>
  <c r="AC36"/>
  <c r="AD36"/>
  <c r="AD37"/>
  <c r="AF36"/>
  <c r="AI36"/>
  <c r="AJ36"/>
  <c r="AK36"/>
  <c r="K35"/>
  <c r="L35" s="1"/>
  <c r="N35"/>
  <c r="AC35" s="1"/>
  <c r="AD35"/>
  <c r="K32"/>
  <c r="L32" s="1"/>
  <c r="K33"/>
  <c r="L33" s="1"/>
  <c r="K34"/>
  <c r="L34" s="1"/>
  <c r="N32"/>
  <c r="S32" s="1"/>
  <c r="T32" s="1"/>
  <c r="N33"/>
  <c r="S33" s="1"/>
  <c r="T33" s="1"/>
  <c r="N34"/>
  <c r="S34" s="1"/>
  <c r="T34" s="1"/>
  <c r="AC32"/>
  <c r="AC34"/>
  <c r="AD32"/>
  <c r="AD33"/>
  <c r="AD34"/>
  <c r="AF32"/>
  <c r="AF34"/>
  <c r="AI32"/>
  <c r="AI34"/>
  <c r="AJ32"/>
  <c r="AJ34"/>
  <c r="AK32"/>
  <c r="AK34"/>
  <c r="K28"/>
  <c r="L28" s="1"/>
  <c r="K29"/>
  <c r="L29" s="1"/>
  <c r="N28"/>
  <c r="S28" s="1"/>
  <c r="T28" s="1"/>
  <c r="N29"/>
  <c r="S29" s="1"/>
  <c r="T29" s="1"/>
  <c r="AC28"/>
  <c r="AD28"/>
  <c r="AD29"/>
  <c r="AF28"/>
  <c r="AI28"/>
  <c r="AJ28"/>
  <c r="AK28"/>
  <c r="K26"/>
  <c r="L26" s="1"/>
  <c r="K27"/>
  <c r="L27" s="1"/>
  <c r="N26"/>
  <c r="S26" s="1"/>
  <c r="T26" s="1"/>
  <c r="N27"/>
  <c r="S27" s="1"/>
  <c r="T27" s="1"/>
  <c r="AC26"/>
  <c r="AD26"/>
  <c r="AD27"/>
  <c r="AF26"/>
  <c r="AI26"/>
  <c r="AI27"/>
  <c r="AJ26"/>
  <c r="AJ27"/>
  <c r="AK26"/>
  <c r="AK27"/>
  <c r="K30"/>
  <c r="L30" s="1"/>
  <c r="K31"/>
  <c r="L31" s="1"/>
  <c r="N30"/>
  <c r="S30" s="1"/>
  <c r="T30" s="1"/>
  <c r="N31"/>
  <c r="S31" s="1"/>
  <c r="T31" s="1"/>
  <c r="AC30"/>
  <c r="AD30"/>
  <c r="AD31"/>
  <c r="AF30"/>
  <c r="AI30"/>
  <c r="AJ30"/>
  <c r="AK30"/>
  <c r="K24"/>
  <c r="L24" s="1"/>
  <c r="K25"/>
  <c r="L25" s="1"/>
  <c r="N24"/>
  <c r="S24" s="1"/>
  <c r="T24" s="1"/>
  <c r="N25"/>
  <c r="S25" s="1"/>
  <c r="T25" s="1"/>
  <c r="AC24"/>
  <c r="AD24"/>
  <c r="AD25"/>
  <c r="AF24"/>
  <c r="AI24"/>
  <c r="AJ24"/>
  <c r="AK24"/>
  <c r="S54" l="1"/>
  <c r="T54" s="1"/>
  <c r="AC49"/>
  <c r="AC60"/>
  <c r="S35"/>
  <c r="T35" s="1"/>
  <c r="AC39"/>
  <c r="AC43"/>
  <c r="AC47"/>
  <c r="S52"/>
  <c r="T52" s="1"/>
  <c r="AC29"/>
  <c r="S61"/>
  <c r="T61" s="1"/>
  <c r="S51"/>
  <c r="T51" s="1"/>
  <c r="AC31"/>
  <c r="AC33"/>
  <c r="AC27"/>
  <c r="AC37"/>
  <c r="AC41"/>
  <c r="AC45"/>
  <c r="AC25"/>
  <c r="K22"/>
  <c r="L22" s="1"/>
  <c r="K23"/>
  <c r="L23" s="1"/>
  <c r="N22"/>
  <c r="S22" s="1"/>
  <c r="T22" s="1"/>
  <c r="N23"/>
  <c r="S23" s="1"/>
  <c r="T23" s="1"/>
  <c r="AC22"/>
  <c r="AD22"/>
  <c r="AD23"/>
  <c r="AF22"/>
  <c r="AI22"/>
  <c r="AJ22"/>
  <c r="AK22"/>
  <c r="K19"/>
  <c r="L19" s="1"/>
  <c r="K21"/>
  <c r="L21" s="1"/>
  <c r="N19"/>
  <c r="S19" s="1"/>
  <c r="T19" s="1"/>
  <c r="N21"/>
  <c r="S21" s="1"/>
  <c r="T21" s="1"/>
  <c r="AC19"/>
  <c r="AD19"/>
  <c r="AD21"/>
  <c r="AF19"/>
  <c r="AI19"/>
  <c r="AJ19"/>
  <c r="AK19"/>
  <c r="K18"/>
  <c r="L18" s="1"/>
  <c r="K20"/>
  <c r="L20" s="1"/>
  <c r="N18"/>
  <c r="S18" s="1"/>
  <c r="T18" s="1"/>
  <c r="N20"/>
  <c r="S20" s="1"/>
  <c r="T20" s="1"/>
  <c r="AC18"/>
  <c r="AD18"/>
  <c r="AD20"/>
  <c r="AF18"/>
  <c r="AI18"/>
  <c r="AI20"/>
  <c r="AJ18"/>
  <c r="AJ20"/>
  <c r="AK18"/>
  <c r="AK20"/>
  <c r="K14"/>
  <c r="L14" s="1"/>
  <c r="K15"/>
  <c r="L15" s="1"/>
  <c r="N14"/>
  <c r="S14" s="1"/>
  <c r="T14" s="1"/>
  <c r="N15"/>
  <c r="S15" s="1"/>
  <c r="T15" s="1"/>
  <c r="AC14"/>
  <c r="AD14"/>
  <c r="AD15"/>
  <c r="AF14"/>
  <c r="AI14"/>
  <c r="AI15"/>
  <c r="AJ14"/>
  <c r="AJ15"/>
  <c r="AK14"/>
  <c r="AK15"/>
  <c r="K13"/>
  <c r="L13" s="1"/>
  <c r="K17"/>
  <c r="L17" s="1"/>
  <c r="N13"/>
  <c r="S13" s="1"/>
  <c r="T13" s="1"/>
  <c r="N17"/>
  <c r="AC17" s="1"/>
  <c r="AC13"/>
  <c r="AD13"/>
  <c r="AD17"/>
  <c r="AF13"/>
  <c r="AI13"/>
  <c r="AJ13"/>
  <c r="AK13"/>
  <c r="K6"/>
  <c r="L6" s="1"/>
  <c r="N6"/>
  <c r="S6" s="1"/>
  <c r="T6" s="1"/>
  <c r="AC6"/>
  <c r="AD6"/>
  <c r="AF6"/>
  <c r="AI6"/>
  <c r="AJ6"/>
  <c r="AK6"/>
  <c r="K7"/>
  <c r="L7" s="1"/>
  <c r="N7"/>
  <c r="AC7" s="1"/>
  <c r="S7"/>
  <c r="T7" s="1"/>
  <c r="AD7"/>
  <c r="AI7"/>
  <c r="AJ7"/>
  <c r="AK7"/>
  <c r="K8"/>
  <c r="L8" s="1"/>
  <c r="N8"/>
  <c r="S8" s="1"/>
  <c r="T8" s="1"/>
  <c r="AD8"/>
  <c r="AE8"/>
  <c r="AI8"/>
  <c r="AJ8"/>
  <c r="AK8"/>
  <c r="K9"/>
  <c r="L9" s="1"/>
  <c r="N9"/>
  <c r="S9" s="1"/>
  <c r="T9" s="1"/>
  <c r="AC9"/>
  <c r="AD9"/>
  <c r="AI9"/>
  <c r="AJ9"/>
  <c r="AK9"/>
  <c r="K12"/>
  <c r="L12" s="1"/>
  <c r="K16"/>
  <c r="L16" s="1"/>
  <c r="N12"/>
  <c r="S12" s="1"/>
  <c r="T12" s="1"/>
  <c r="N16"/>
  <c r="S16" s="1"/>
  <c r="T16" s="1"/>
  <c r="AC12"/>
  <c r="AD12"/>
  <c r="AD16"/>
  <c r="AI12"/>
  <c r="AJ12"/>
  <c r="AK12"/>
  <c r="K11"/>
  <c r="L11" s="1"/>
  <c r="N11"/>
  <c r="S11" s="1"/>
  <c r="T11" s="1"/>
  <c r="AC11"/>
  <c r="AD11"/>
  <c r="AI11"/>
  <c r="AJ11"/>
  <c r="AK11"/>
  <c r="K10"/>
  <c r="L10" s="1"/>
  <c r="N10"/>
  <c r="S10" s="1"/>
  <c r="T10" s="1"/>
  <c r="AD10"/>
  <c r="AI10"/>
  <c r="AJ10"/>
  <c r="AK10"/>
  <c r="S17" l="1"/>
  <c r="T17" s="1"/>
  <c r="AC10"/>
  <c r="AC8"/>
  <c r="AC21"/>
  <c r="AC16"/>
  <c r="AC15"/>
  <c r="AC20"/>
  <c r="AC23"/>
  <c r="K4"/>
  <c r="L4" s="1"/>
  <c r="K5"/>
  <c r="L5" s="1"/>
  <c r="N4"/>
  <c r="S4" s="1"/>
  <c r="T4" s="1"/>
  <c r="N5"/>
  <c r="S5" s="1"/>
  <c r="T5" s="1"/>
  <c r="AC4"/>
  <c r="AD4"/>
  <c r="AD5"/>
  <c r="AF4"/>
  <c r="AC5" l="1"/>
  <c r="A62"/>
  <c r="AK3"/>
  <c r="AJ3"/>
  <c r="AI3"/>
  <c r="AD3"/>
  <c r="N3"/>
  <c r="AC3" s="1"/>
  <c r="K3"/>
  <c r="L3" s="1"/>
  <c r="AK2"/>
  <c r="AJ2"/>
  <c r="AI2"/>
  <c r="AF2"/>
  <c r="AD2"/>
  <c r="AC2"/>
  <c r="N2"/>
  <c r="K2"/>
  <c r="L2" s="1"/>
  <c r="Q57" l="1"/>
  <c r="R58"/>
  <c r="O57"/>
  <c r="P58"/>
  <c r="P57"/>
  <c r="O58"/>
  <c r="R57"/>
  <c r="Q58"/>
  <c r="M57"/>
  <c r="M58"/>
  <c r="P59"/>
  <c r="Q59"/>
  <c r="O59"/>
  <c r="O56"/>
  <c r="R56"/>
  <c r="Q56"/>
  <c r="R59"/>
  <c r="P56"/>
  <c r="M56"/>
  <c r="M59"/>
  <c r="Q55"/>
  <c r="R60"/>
  <c r="O54"/>
  <c r="Q53"/>
  <c r="R55"/>
  <c r="R54"/>
  <c r="Q60"/>
  <c r="P53"/>
  <c r="P55"/>
  <c r="O53"/>
  <c r="Q54"/>
  <c r="P60"/>
  <c r="O60"/>
  <c r="O55"/>
  <c r="P54"/>
  <c r="R53"/>
  <c r="M55"/>
  <c r="M54"/>
  <c r="M53"/>
  <c r="M60"/>
  <c r="O52"/>
  <c r="P52"/>
  <c r="R52"/>
  <c r="Q52"/>
  <c r="M52"/>
  <c r="M51"/>
  <c r="M61"/>
  <c r="M50"/>
  <c r="P50"/>
  <c r="Q51"/>
  <c r="R61"/>
  <c r="O61"/>
  <c r="Q50"/>
  <c r="O51"/>
  <c r="Q61"/>
  <c r="O50"/>
  <c r="R51"/>
  <c r="R50"/>
  <c r="P61"/>
  <c r="P51"/>
  <c r="P48"/>
  <c r="R48"/>
  <c r="Q48"/>
  <c r="O49"/>
  <c r="P49"/>
  <c r="R49"/>
  <c r="O48"/>
  <c r="Q49"/>
  <c r="M48"/>
  <c r="M49"/>
  <c r="O46"/>
  <c r="O47"/>
  <c r="P46"/>
  <c r="P47"/>
  <c r="Q46"/>
  <c r="Q47"/>
  <c r="R46"/>
  <c r="R47"/>
  <c r="M46"/>
  <c r="M47"/>
  <c r="O44"/>
  <c r="R45"/>
  <c r="R44"/>
  <c r="Q45"/>
  <c r="Q44"/>
  <c r="P45"/>
  <c r="P44"/>
  <c r="O45"/>
  <c r="M44"/>
  <c r="M45"/>
  <c r="O42"/>
  <c r="R43"/>
  <c r="R42"/>
  <c r="Q43"/>
  <c r="Q42"/>
  <c r="P43"/>
  <c r="P42"/>
  <c r="O43"/>
  <c r="M42"/>
  <c r="M43"/>
  <c r="O40"/>
  <c r="R41"/>
  <c r="R40"/>
  <c r="Q41"/>
  <c r="Q40"/>
  <c r="P41"/>
  <c r="P40"/>
  <c r="O41"/>
  <c r="M40"/>
  <c r="M41"/>
  <c r="O38"/>
  <c r="O39"/>
  <c r="P38"/>
  <c r="P39"/>
  <c r="Q38"/>
  <c r="Q39"/>
  <c r="R38"/>
  <c r="R39"/>
  <c r="M38"/>
  <c r="M39"/>
  <c r="O36"/>
  <c r="O37"/>
  <c r="P36"/>
  <c r="P37"/>
  <c r="Q36"/>
  <c r="Q37"/>
  <c r="R36"/>
  <c r="R37"/>
  <c r="M35"/>
  <c r="M36"/>
  <c r="M37"/>
  <c r="O35"/>
  <c r="R35"/>
  <c r="Q35"/>
  <c r="P35"/>
  <c r="O32"/>
  <c r="O33"/>
  <c r="O34"/>
  <c r="P32"/>
  <c r="P33"/>
  <c r="P34"/>
  <c r="Q32"/>
  <c r="Q33"/>
  <c r="Q34"/>
  <c r="R32"/>
  <c r="R33"/>
  <c r="R34"/>
  <c r="M32"/>
  <c r="M34"/>
  <c r="M33"/>
  <c r="O28"/>
  <c r="O29"/>
  <c r="P28"/>
  <c r="P29"/>
  <c r="Q28"/>
  <c r="Q29"/>
  <c r="R28"/>
  <c r="R29"/>
  <c r="M28"/>
  <c r="M29"/>
  <c r="O26"/>
  <c r="O27"/>
  <c r="P26"/>
  <c r="P27"/>
  <c r="Q26"/>
  <c r="Q27"/>
  <c r="R26"/>
  <c r="R27"/>
  <c r="M26"/>
  <c r="M27"/>
  <c r="O30"/>
  <c r="O31"/>
  <c r="P30"/>
  <c r="P31"/>
  <c r="Q30"/>
  <c r="Q31"/>
  <c r="R30"/>
  <c r="R31"/>
  <c r="M30"/>
  <c r="M31"/>
  <c r="O24"/>
  <c r="O25"/>
  <c r="P24"/>
  <c r="P25"/>
  <c r="Q24"/>
  <c r="Q25"/>
  <c r="R24"/>
  <c r="R25"/>
  <c r="M24"/>
  <c r="M25"/>
  <c r="O22"/>
  <c r="O23"/>
  <c r="P22"/>
  <c r="P23"/>
  <c r="Q22"/>
  <c r="Q23"/>
  <c r="R22"/>
  <c r="R23"/>
  <c r="M22"/>
  <c r="M23"/>
  <c r="O19"/>
  <c r="R21"/>
  <c r="R19"/>
  <c r="Q21"/>
  <c r="Q19"/>
  <c r="P21"/>
  <c r="P19"/>
  <c r="O21"/>
  <c r="M19"/>
  <c r="M21"/>
  <c r="O18"/>
  <c r="O20"/>
  <c r="P18"/>
  <c r="P20"/>
  <c r="Q18"/>
  <c r="Q20"/>
  <c r="R18"/>
  <c r="R20"/>
  <c r="M18"/>
  <c r="M20"/>
  <c r="O14"/>
  <c r="O15"/>
  <c r="P14"/>
  <c r="P15"/>
  <c r="Q14"/>
  <c r="Q15"/>
  <c r="R14"/>
  <c r="R15"/>
  <c r="M14"/>
  <c r="M15"/>
  <c r="O13"/>
  <c r="R17"/>
  <c r="R13"/>
  <c r="Q17"/>
  <c r="Q13"/>
  <c r="P17"/>
  <c r="P13"/>
  <c r="O17"/>
  <c r="M13"/>
  <c r="M17"/>
  <c r="O6"/>
  <c r="P6"/>
  <c r="Q6"/>
  <c r="R6"/>
  <c r="O7"/>
  <c r="P7"/>
  <c r="Q7"/>
  <c r="R7"/>
  <c r="O8"/>
  <c r="P8"/>
  <c r="Q8"/>
  <c r="R8"/>
  <c r="O9"/>
  <c r="P9"/>
  <c r="Q9"/>
  <c r="R9"/>
  <c r="M6"/>
  <c r="M7"/>
  <c r="M8"/>
  <c r="M9"/>
  <c r="O12"/>
  <c r="R16"/>
  <c r="R12"/>
  <c r="Q16"/>
  <c r="Q12"/>
  <c r="P16"/>
  <c r="P12"/>
  <c r="O16"/>
  <c r="M11"/>
  <c r="M12"/>
  <c r="M16"/>
  <c r="O11"/>
  <c r="P11"/>
  <c r="Q11"/>
  <c r="R11"/>
  <c r="O10"/>
  <c r="P10"/>
  <c r="Q10"/>
  <c r="R10"/>
  <c r="M10"/>
  <c r="S2"/>
  <c r="T2" s="1"/>
  <c r="O4"/>
  <c r="O5"/>
  <c r="P4"/>
  <c r="P5"/>
  <c r="Q4"/>
  <c r="Q5"/>
  <c r="R4"/>
  <c r="R5"/>
  <c r="M4"/>
  <c r="M5"/>
  <c r="S3"/>
  <c r="T3" s="1"/>
  <c r="R3"/>
  <c r="Q3"/>
  <c r="P3"/>
  <c r="O3"/>
  <c r="R2"/>
  <c r="Q2"/>
  <c r="P2"/>
  <c r="O2"/>
  <c r="M3"/>
  <c r="M2"/>
  <c r="AC62"/>
  <c r="U58" l="1"/>
  <c r="U57"/>
  <c r="U56"/>
  <c r="U59"/>
  <c r="U60"/>
  <c r="U54"/>
  <c r="U53"/>
  <c r="U55"/>
  <c r="U52"/>
  <c r="U50"/>
  <c r="U51"/>
  <c r="U61"/>
  <c r="U49"/>
  <c r="U48"/>
  <c r="U46"/>
  <c r="U47"/>
  <c r="U44"/>
  <c r="U45"/>
  <c r="U42"/>
  <c r="U43"/>
  <c r="U40"/>
  <c r="U41"/>
  <c r="U38"/>
  <c r="U39"/>
  <c r="U36"/>
  <c r="U37"/>
  <c r="U35"/>
  <c r="U32"/>
  <c r="U33"/>
  <c r="U34"/>
  <c r="U28"/>
  <c r="U29"/>
  <c r="U26"/>
  <c r="U27"/>
  <c r="U30"/>
  <c r="U31"/>
  <c r="U24"/>
  <c r="U25"/>
  <c r="U22"/>
  <c r="U23"/>
  <c r="U19"/>
  <c r="U21"/>
  <c r="U18"/>
  <c r="U20"/>
  <c r="U14"/>
  <c r="U15"/>
  <c r="U13"/>
  <c r="U17"/>
  <c r="U6"/>
  <c r="U7"/>
  <c r="U8"/>
  <c r="U9"/>
  <c r="U12"/>
  <c r="U16"/>
  <c r="U11"/>
  <c r="U10"/>
  <c r="U4"/>
  <c r="U5"/>
  <c r="U2"/>
  <c r="W2" s="1"/>
  <c r="U3"/>
  <c r="V3" s="1"/>
  <c r="W57" l="1"/>
  <c r="V57"/>
  <c r="W58"/>
  <c r="V58"/>
  <c r="V56"/>
  <c r="W56"/>
  <c r="V59"/>
  <c r="W59"/>
  <c r="V53"/>
  <c r="W53"/>
  <c r="W54"/>
  <c r="V54"/>
  <c r="W60"/>
  <c r="V60"/>
  <c r="V55"/>
  <c r="W55"/>
  <c r="W52"/>
  <c r="V52"/>
  <c r="W51"/>
  <c r="V51"/>
  <c r="W61"/>
  <c r="V61"/>
  <c r="V50"/>
  <c r="W50"/>
  <c r="W3"/>
  <c r="X3" s="1"/>
  <c r="Y3" s="1"/>
  <c r="V2"/>
  <c r="X2" s="1"/>
  <c r="Y2" s="1"/>
  <c r="V48"/>
  <c r="W48"/>
  <c r="V49"/>
  <c r="W49"/>
  <c r="V47"/>
  <c r="X47" s="1"/>
  <c r="Y47" s="1"/>
  <c r="W47"/>
  <c r="V46"/>
  <c r="X46" s="1"/>
  <c r="Y46" s="1"/>
  <c r="W46"/>
  <c r="V45"/>
  <c r="X45" s="1"/>
  <c r="Y45" s="1"/>
  <c r="W45"/>
  <c r="V44"/>
  <c r="X44" s="1"/>
  <c r="Y44" s="1"/>
  <c r="W44"/>
  <c r="V43"/>
  <c r="X43" s="1"/>
  <c r="Y43" s="1"/>
  <c r="W43"/>
  <c r="V42"/>
  <c r="X42" s="1"/>
  <c r="Y42" s="1"/>
  <c r="W42"/>
  <c r="V41"/>
  <c r="X41" s="1"/>
  <c r="Y41" s="1"/>
  <c r="W41"/>
  <c r="V40"/>
  <c r="X40" s="1"/>
  <c r="Y40" s="1"/>
  <c r="W40"/>
  <c r="V39"/>
  <c r="X39" s="1"/>
  <c r="Y39" s="1"/>
  <c r="W39"/>
  <c r="V38"/>
  <c r="X38" s="1"/>
  <c r="Y38" s="1"/>
  <c r="W38"/>
  <c r="V37"/>
  <c r="X37" s="1"/>
  <c r="Y37" s="1"/>
  <c r="W37"/>
  <c r="V36"/>
  <c r="X36" s="1"/>
  <c r="Y36" s="1"/>
  <c r="W36"/>
  <c r="V35"/>
  <c r="X35" s="1"/>
  <c r="Y35" s="1"/>
  <c r="W35"/>
  <c r="V34"/>
  <c r="W34"/>
  <c r="V33"/>
  <c r="X33" s="1"/>
  <c r="Y33" s="1"/>
  <c r="W33"/>
  <c r="V32"/>
  <c r="X32" s="1"/>
  <c r="Y32" s="1"/>
  <c r="W32"/>
  <c r="V29"/>
  <c r="X29" s="1"/>
  <c r="Y29" s="1"/>
  <c r="W29"/>
  <c r="V28"/>
  <c r="X28" s="1"/>
  <c r="Y28" s="1"/>
  <c r="W28"/>
  <c r="V27"/>
  <c r="X27" s="1"/>
  <c r="Y27" s="1"/>
  <c r="W27"/>
  <c r="V26"/>
  <c r="X26" s="1"/>
  <c r="Y26" s="1"/>
  <c r="W26"/>
  <c r="V31"/>
  <c r="X31" s="1"/>
  <c r="Y31" s="1"/>
  <c r="W31"/>
  <c r="V30"/>
  <c r="X30" s="1"/>
  <c r="Y30" s="1"/>
  <c r="W30"/>
  <c r="V25"/>
  <c r="X25" s="1"/>
  <c r="Y25" s="1"/>
  <c r="W25"/>
  <c r="V24"/>
  <c r="X24" s="1"/>
  <c r="Y24" s="1"/>
  <c r="W24"/>
  <c r="V23"/>
  <c r="X23" s="1"/>
  <c r="Y23" s="1"/>
  <c r="W23"/>
  <c r="V22"/>
  <c r="X22" s="1"/>
  <c r="Y22" s="1"/>
  <c r="W22"/>
  <c r="V21"/>
  <c r="W21"/>
  <c r="V19"/>
  <c r="W19"/>
  <c r="V20"/>
  <c r="W20"/>
  <c r="V18"/>
  <c r="W18"/>
  <c r="V15"/>
  <c r="X15" s="1"/>
  <c r="W15"/>
  <c r="V14"/>
  <c r="X14" s="1"/>
  <c r="W14"/>
  <c r="V17"/>
  <c r="W17"/>
  <c r="V13"/>
  <c r="W13"/>
  <c r="V9"/>
  <c r="X9" s="1"/>
  <c r="W9"/>
  <c r="V8"/>
  <c r="X8" s="1"/>
  <c r="W8"/>
  <c r="V7"/>
  <c r="X7" s="1"/>
  <c r="W7"/>
  <c r="V6"/>
  <c r="X6" s="1"/>
  <c r="W6"/>
  <c r="V16"/>
  <c r="W16"/>
  <c r="V12"/>
  <c r="W12"/>
  <c r="V11"/>
  <c r="W11"/>
  <c r="V10"/>
  <c r="W10"/>
  <c r="V5"/>
  <c r="W5"/>
  <c r="V4"/>
  <c r="W4"/>
  <c r="X58" l="1"/>
  <c r="Y58" s="1"/>
  <c r="X57"/>
  <c r="Y57" s="1"/>
  <c r="X56"/>
  <c r="Y56" s="1"/>
  <c r="X59"/>
  <c r="Y59" s="1"/>
  <c r="X53"/>
  <c r="Y53" s="1"/>
  <c r="X60"/>
  <c r="Y60" s="1"/>
  <c r="X55"/>
  <c r="Y55" s="1"/>
  <c r="X54"/>
  <c r="Y54" s="1"/>
  <c r="X52"/>
  <c r="Y52" s="1"/>
  <c r="X50"/>
  <c r="Y50" s="1"/>
  <c r="X51"/>
  <c r="X61"/>
  <c r="X48"/>
  <c r="Y48" s="1"/>
  <c r="X49"/>
  <c r="Y49" s="1"/>
  <c r="X34"/>
  <c r="X19"/>
  <c r="Y19" s="1"/>
  <c r="X21"/>
  <c r="Y21" s="1"/>
  <c r="X18"/>
  <c r="Y18" s="1"/>
  <c r="X20"/>
  <c r="Y20" s="1"/>
  <c r="Y15"/>
  <c r="Y14"/>
  <c r="X13"/>
  <c r="X17"/>
  <c r="Y6"/>
  <c r="Y7"/>
  <c r="Y8"/>
  <c r="Y9"/>
  <c r="X12"/>
  <c r="Y12" s="1"/>
  <c r="X16"/>
  <c r="Y16" s="1"/>
  <c r="X11"/>
  <c r="X10"/>
  <c r="X4"/>
  <c r="Y4" s="1"/>
  <c r="X5"/>
  <c r="Y5" s="1"/>
  <c r="Y51" l="1"/>
  <c r="Y61"/>
  <c r="Y34"/>
  <c r="Y17"/>
  <c r="Y13"/>
  <c r="Y10"/>
  <c r="Y11"/>
  <c r="AK4"/>
  <c r="AK57" l="1"/>
  <c r="Z56"/>
  <c r="Z58"/>
  <c r="Z57"/>
  <c r="Z59"/>
  <c r="Z55"/>
  <c r="Z54"/>
  <c r="Z60"/>
  <c r="Z53"/>
  <c r="Z61"/>
  <c r="Z50"/>
  <c r="Z52"/>
  <c r="Z51"/>
  <c r="Z16"/>
  <c r="Z11"/>
  <c r="Z48"/>
  <c r="Z49"/>
  <c r="AK49"/>
  <c r="Z46"/>
  <c r="Z47"/>
  <c r="AK47"/>
  <c r="Z44"/>
  <c r="Z45"/>
  <c r="AK45"/>
  <c r="Z42"/>
  <c r="Z43"/>
  <c r="AK43"/>
  <c r="Z40"/>
  <c r="Z41"/>
  <c r="AK41"/>
  <c r="Z38"/>
  <c r="Z39"/>
  <c r="AK39"/>
  <c r="Z36"/>
  <c r="AK37"/>
  <c r="Z37"/>
  <c r="AK35"/>
  <c r="Z34"/>
  <c r="Z35"/>
  <c r="Z32"/>
  <c r="AK33"/>
  <c r="Z33"/>
  <c r="Z28"/>
  <c r="AK29"/>
  <c r="Z29"/>
  <c r="Z26"/>
  <c r="Z27"/>
  <c r="Z30"/>
  <c r="Z31"/>
  <c r="AK31"/>
  <c r="Z24"/>
  <c r="Z25"/>
  <c r="AK25"/>
  <c r="AK23"/>
  <c r="Z22"/>
  <c r="Z23"/>
  <c r="AK21"/>
  <c r="Z19"/>
  <c r="Z21"/>
  <c r="Z18"/>
  <c r="Z20"/>
  <c r="Z14"/>
  <c r="Z15"/>
  <c r="Z13"/>
  <c r="Z17"/>
  <c r="AK17"/>
  <c r="Z6"/>
  <c r="Z7"/>
  <c r="Z8"/>
  <c r="Z9"/>
  <c r="AK5"/>
  <c r="AK16"/>
  <c r="Z4"/>
  <c r="Z5"/>
  <c r="Z2"/>
  <c r="Z3"/>
  <c r="Z10"/>
  <c r="Z12"/>
  <c r="AA57" l="1"/>
  <c r="AB57" s="1"/>
  <c r="AA58"/>
  <c r="AB58" s="1"/>
  <c r="AF58" s="1"/>
  <c r="AA56"/>
  <c r="AB56" s="1"/>
  <c r="AF56" s="1"/>
  <c r="AA59"/>
  <c r="AB59" s="1"/>
  <c r="AA53"/>
  <c r="AB53" s="1"/>
  <c r="AA60"/>
  <c r="AB60" s="1"/>
  <c r="AF60" s="1"/>
  <c r="AA55"/>
  <c r="AB55" s="1"/>
  <c r="AE55" s="1"/>
  <c r="AA54"/>
  <c r="AB54" s="1"/>
  <c r="AA12"/>
  <c r="AB12" s="1"/>
  <c r="AA52"/>
  <c r="AB52" s="1"/>
  <c r="AA50"/>
  <c r="AB50" s="1"/>
  <c r="AA61"/>
  <c r="AB61" s="1"/>
  <c r="AF61" s="1"/>
  <c r="AA51"/>
  <c r="AB51" s="1"/>
  <c r="AA48"/>
  <c r="AB48" s="1"/>
  <c r="AA49"/>
  <c r="AB49" s="1"/>
  <c r="AF49" s="1"/>
  <c r="AA46"/>
  <c r="AB46" s="1"/>
  <c r="AA47"/>
  <c r="AB47" s="1"/>
  <c r="AF47" s="1"/>
  <c r="AA44"/>
  <c r="AB44" s="1"/>
  <c r="AA45"/>
  <c r="AB45" s="1"/>
  <c r="AF45" s="1"/>
  <c r="AA42"/>
  <c r="AB42" s="1"/>
  <c r="AA43"/>
  <c r="AB43" s="1"/>
  <c r="AF43" s="1"/>
  <c r="AA40"/>
  <c r="AB40" s="1"/>
  <c r="AA41"/>
  <c r="AB41" s="1"/>
  <c r="AF41" s="1"/>
  <c r="AA38"/>
  <c r="AB38" s="1"/>
  <c r="AA39"/>
  <c r="AB39" s="1"/>
  <c r="AF39" s="1"/>
  <c r="AA36"/>
  <c r="AB36" s="1"/>
  <c r="AA37"/>
  <c r="AB37" s="1"/>
  <c r="AF37" s="1"/>
  <c r="AA35"/>
  <c r="AB35" s="1"/>
  <c r="AF35" s="1"/>
  <c r="AA32"/>
  <c r="AB32" s="1"/>
  <c r="AA33"/>
  <c r="AB33" s="1"/>
  <c r="AF33" s="1"/>
  <c r="AA34"/>
  <c r="AB34" s="1"/>
  <c r="AA28"/>
  <c r="AB28" s="1"/>
  <c r="AA29"/>
  <c r="AB29" s="1"/>
  <c r="AF29" s="1"/>
  <c r="AA26"/>
  <c r="AB26" s="1"/>
  <c r="AA27"/>
  <c r="AB27" s="1"/>
  <c r="AF27" s="1"/>
  <c r="AA30"/>
  <c r="AB30" s="1"/>
  <c r="AA31"/>
  <c r="AB31" s="1"/>
  <c r="AF31" s="1"/>
  <c r="AA24"/>
  <c r="AB24" s="1"/>
  <c r="AA25"/>
  <c r="AB25" s="1"/>
  <c r="AF25" s="1"/>
  <c r="AA22"/>
  <c r="AB22" s="1"/>
  <c r="AA23"/>
  <c r="AB23" s="1"/>
  <c r="AF23" s="1"/>
  <c r="AA19"/>
  <c r="AB19" s="1"/>
  <c r="AA21"/>
  <c r="AB21" s="1"/>
  <c r="AF21" s="1"/>
  <c r="AA18"/>
  <c r="AB18" s="1"/>
  <c r="AA20"/>
  <c r="AB20" s="1"/>
  <c r="AF20" s="1"/>
  <c r="AA14"/>
  <c r="AB14" s="1"/>
  <c r="AA15"/>
  <c r="AB15" s="1"/>
  <c r="AF15" s="1"/>
  <c r="AA13"/>
  <c r="AB13" s="1"/>
  <c r="AA17"/>
  <c r="AB17" s="1"/>
  <c r="AF17" s="1"/>
  <c r="AA6"/>
  <c r="AB6" s="1"/>
  <c r="AA9"/>
  <c r="AB9" s="1"/>
  <c r="AE9" s="1"/>
  <c r="AA8"/>
  <c r="AB8" s="1"/>
  <c r="AA7"/>
  <c r="AB7" s="1"/>
  <c r="AF7" s="1"/>
  <c r="AA16"/>
  <c r="AB16" s="1"/>
  <c r="AF16" s="1"/>
  <c r="AA11"/>
  <c r="AB11" s="1"/>
  <c r="AF11" s="1"/>
  <c r="AA2"/>
  <c r="AA10"/>
  <c r="AB10" s="1"/>
  <c r="AA3"/>
  <c r="AB3" s="1"/>
  <c r="AF3" s="1"/>
  <c r="AA5"/>
  <c r="AB5" s="1"/>
  <c r="AF5" s="1"/>
  <c r="AA4"/>
  <c r="AB4" s="1"/>
  <c r="AE58" l="1"/>
  <c r="AG58" s="1"/>
  <c r="AE57"/>
  <c r="AG57" s="1"/>
  <c r="AH57" s="1"/>
  <c r="AE59"/>
  <c r="AE56"/>
  <c r="AG56" s="1"/>
  <c r="AF59"/>
  <c r="AE53"/>
  <c r="AG53" s="1"/>
  <c r="AH53" s="1"/>
  <c r="AF54"/>
  <c r="AG54" s="1"/>
  <c r="AH54" s="1"/>
  <c r="AE60"/>
  <c r="AG60" s="1"/>
  <c r="AF55"/>
  <c r="AG55" s="1"/>
  <c r="AF52"/>
  <c r="AF51"/>
  <c r="AE51"/>
  <c r="AE52"/>
  <c r="AE50"/>
  <c r="AG50" s="1"/>
  <c r="AH50" s="1"/>
  <c r="AE61"/>
  <c r="AG61" s="1"/>
  <c r="AE48"/>
  <c r="AG48" s="1"/>
  <c r="AH48" s="1"/>
  <c r="AE49"/>
  <c r="AG49" s="1"/>
  <c r="AE46"/>
  <c r="AG46" s="1"/>
  <c r="AH46" s="1"/>
  <c r="AE47"/>
  <c r="AG47" s="1"/>
  <c r="AE44"/>
  <c r="AG44" s="1"/>
  <c r="AH44" s="1"/>
  <c r="AE45"/>
  <c r="AG45" s="1"/>
  <c r="AE42"/>
  <c r="AG42" s="1"/>
  <c r="AH42" s="1"/>
  <c r="AE43"/>
  <c r="AG43" s="1"/>
  <c r="AE40"/>
  <c r="AG40" s="1"/>
  <c r="AH40" s="1"/>
  <c r="AE41"/>
  <c r="AG41" s="1"/>
  <c r="AE38"/>
  <c r="AG38" s="1"/>
  <c r="AH38" s="1"/>
  <c r="AE39"/>
  <c r="AG39" s="1"/>
  <c r="AE36"/>
  <c r="AG36" s="1"/>
  <c r="AH36" s="1"/>
  <c r="AE37"/>
  <c r="AG37" s="1"/>
  <c r="AE35"/>
  <c r="AG35" s="1"/>
  <c r="AE34"/>
  <c r="AG34" s="1"/>
  <c r="AH34" s="1"/>
  <c r="AE32"/>
  <c r="AG32" s="1"/>
  <c r="AH32" s="1"/>
  <c r="AE33"/>
  <c r="AG33" s="1"/>
  <c r="AE28"/>
  <c r="AG28" s="1"/>
  <c r="AH28" s="1"/>
  <c r="AE29"/>
  <c r="AG29" s="1"/>
  <c r="AE26"/>
  <c r="AG26" s="1"/>
  <c r="AH26" s="1"/>
  <c r="AE27"/>
  <c r="AG27" s="1"/>
  <c r="AE30"/>
  <c r="AG30" s="1"/>
  <c r="AH30" s="1"/>
  <c r="AE31"/>
  <c r="AG31" s="1"/>
  <c r="AE24"/>
  <c r="AG24" s="1"/>
  <c r="AH24" s="1"/>
  <c r="AE25"/>
  <c r="AG25" s="1"/>
  <c r="AE23"/>
  <c r="AG23" s="1"/>
  <c r="AE22"/>
  <c r="AG22" s="1"/>
  <c r="AH22" s="1"/>
  <c r="AE19"/>
  <c r="AG19" s="1"/>
  <c r="AH19" s="1"/>
  <c r="AE21"/>
  <c r="AG21" s="1"/>
  <c r="AE20"/>
  <c r="AG20" s="1"/>
  <c r="AE18"/>
  <c r="AG18" s="1"/>
  <c r="AH18" s="1"/>
  <c r="AE15"/>
  <c r="AG15" s="1"/>
  <c r="AE14"/>
  <c r="AG14" s="1"/>
  <c r="AH14" s="1"/>
  <c r="AE17"/>
  <c r="AG17" s="1"/>
  <c r="AE13"/>
  <c r="AG13" s="1"/>
  <c r="AH13" s="1"/>
  <c r="AE6"/>
  <c r="AG6" s="1"/>
  <c r="AH6" s="1"/>
  <c r="AE7"/>
  <c r="AG7" s="1"/>
  <c r="AF8"/>
  <c r="AG8" s="1"/>
  <c r="AH8" s="1"/>
  <c r="AF9"/>
  <c r="AG9" s="1"/>
  <c r="AF12"/>
  <c r="AF10"/>
  <c r="AE12"/>
  <c r="AE16"/>
  <c r="AG16" s="1"/>
  <c r="AE11"/>
  <c r="AG11" s="1"/>
  <c r="AH11" s="1"/>
  <c r="AE10"/>
  <c r="AE4"/>
  <c r="AG4" s="1"/>
  <c r="AH4" s="1"/>
  <c r="AE5"/>
  <c r="AG5" s="1"/>
  <c r="AB2"/>
  <c r="AE2"/>
  <c r="AG2" s="1"/>
  <c r="AH2" s="1"/>
  <c r="AE3"/>
  <c r="AG3" s="1"/>
  <c r="K91" i="1"/>
  <c r="L91" s="1"/>
  <c r="N91"/>
  <c r="AB91" s="1"/>
  <c r="S91"/>
  <c r="AC91"/>
  <c r="AH91"/>
  <c r="AI91"/>
  <c r="AJ91"/>
  <c r="K90"/>
  <c r="L90" s="1"/>
  <c r="N90"/>
  <c r="S90"/>
  <c r="AB90"/>
  <c r="AC90"/>
  <c r="K87"/>
  <c r="L87" s="1"/>
  <c r="N87"/>
  <c r="S87"/>
  <c r="AB87"/>
  <c r="AC87"/>
  <c r="AE87"/>
  <c r="AH87"/>
  <c r="AI87"/>
  <c r="AJ87"/>
  <c r="K89"/>
  <c r="L89"/>
  <c r="N89"/>
  <c r="AB89" s="1"/>
  <c r="S89"/>
  <c r="AC89"/>
  <c r="K88"/>
  <c r="L88" s="1"/>
  <c r="N88"/>
  <c r="S88"/>
  <c r="AB88"/>
  <c r="AC88"/>
  <c r="K86"/>
  <c r="L86" s="1"/>
  <c r="N86"/>
  <c r="S86"/>
  <c r="AB86"/>
  <c r="AC86"/>
  <c r="AE86"/>
  <c r="AH86"/>
  <c r="AI86"/>
  <c r="AJ86"/>
  <c r="K85"/>
  <c r="L85" s="1"/>
  <c r="N85"/>
  <c r="AB85" s="1"/>
  <c r="S85"/>
  <c r="AC85"/>
  <c r="AH85"/>
  <c r="AI85"/>
  <c r="AJ85"/>
  <c r="K84"/>
  <c r="L84" s="1"/>
  <c r="N84"/>
  <c r="S84"/>
  <c r="AB84"/>
  <c r="AC84"/>
  <c r="AE84"/>
  <c r="AH84"/>
  <c r="AI84"/>
  <c r="AJ84"/>
  <c r="K82"/>
  <c r="L82" s="1"/>
  <c r="N82"/>
  <c r="S82"/>
  <c r="AB82"/>
  <c r="AC82"/>
  <c r="AE82"/>
  <c r="AH82"/>
  <c r="AI82"/>
  <c r="AJ82"/>
  <c r="K83"/>
  <c r="L83" s="1"/>
  <c r="N83"/>
  <c r="AB83" s="1"/>
  <c r="S83"/>
  <c r="AC83"/>
  <c r="AH83"/>
  <c r="AI83"/>
  <c r="AJ83"/>
  <c r="K81"/>
  <c r="L81" s="1"/>
  <c r="N81"/>
  <c r="AB81" s="1"/>
  <c r="S81"/>
  <c r="AC81"/>
  <c r="K80"/>
  <c r="L80" s="1"/>
  <c r="N80"/>
  <c r="S80"/>
  <c r="AB80"/>
  <c r="AC80"/>
  <c r="AE80"/>
  <c r="AH80"/>
  <c r="AI80"/>
  <c r="AJ80"/>
  <c r="K78"/>
  <c r="L78"/>
  <c r="N78"/>
  <c r="S78"/>
  <c r="AB78"/>
  <c r="AC78"/>
  <c r="AE78"/>
  <c r="AH78"/>
  <c r="AI78"/>
  <c r="AJ78"/>
  <c r="K79"/>
  <c r="L79" s="1"/>
  <c r="N79"/>
  <c r="S79"/>
  <c r="AB79"/>
  <c r="AC79"/>
  <c r="AG59" i="9" l="1"/>
  <c r="AH56"/>
  <c r="AG52"/>
  <c r="AG51"/>
  <c r="AG12"/>
  <c r="AG10"/>
  <c r="K75" i="1"/>
  <c r="L75" s="1"/>
  <c r="N75"/>
  <c r="S75"/>
  <c r="AB75"/>
  <c r="AC75"/>
  <c r="AE75"/>
  <c r="AH75"/>
  <c r="AI75"/>
  <c r="AJ75"/>
  <c r="K76"/>
  <c r="L76"/>
  <c r="N76"/>
  <c r="S76"/>
  <c r="AB76"/>
  <c r="AC76"/>
  <c r="AH76"/>
  <c r="AI76"/>
  <c r="AJ76"/>
  <c r="K77"/>
  <c r="L77" s="1"/>
  <c r="N77"/>
  <c r="S77"/>
  <c r="AB77"/>
  <c r="AC77"/>
  <c r="K74"/>
  <c r="L74" s="1"/>
  <c r="N74"/>
  <c r="S74"/>
  <c r="AB74"/>
  <c r="AC74"/>
  <c r="AE74"/>
  <c r="K72"/>
  <c r="L72" s="1"/>
  <c r="N72"/>
  <c r="S72"/>
  <c r="AB72"/>
  <c r="AC72"/>
  <c r="AE72"/>
  <c r="AH72"/>
  <c r="AI72"/>
  <c r="AJ72"/>
  <c r="K73"/>
  <c r="L73"/>
  <c r="N73"/>
  <c r="AB73" s="1"/>
  <c r="S73"/>
  <c r="AC73"/>
  <c r="AH58" i="9" l="1"/>
  <c r="AH59"/>
  <c r="AH55"/>
  <c r="AH60"/>
  <c r="AH25"/>
  <c r="AH61"/>
  <c r="AH16"/>
  <c r="AH52"/>
  <c r="AH15"/>
  <c r="AH39"/>
  <c r="AH33"/>
  <c r="AH43"/>
  <c r="AH12"/>
  <c r="AH7"/>
  <c r="AH20"/>
  <c r="AH31"/>
  <c r="AH35"/>
  <c r="AH45"/>
  <c r="AH3"/>
  <c r="AH10"/>
  <c r="AH9"/>
  <c r="AH21"/>
  <c r="AH27"/>
  <c r="AH37"/>
  <c r="AH47"/>
  <c r="AH51"/>
  <c r="AH5"/>
  <c r="AH17"/>
  <c r="AH23"/>
  <c r="AH29"/>
  <c r="AH41"/>
  <c r="AH49"/>
  <c r="AI45"/>
  <c r="AJ45"/>
  <c r="AI43"/>
  <c r="AJ43"/>
  <c r="AI41"/>
  <c r="AJ41"/>
  <c r="AI39"/>
  <c r="AJ39"/>
  <c r="AI37"/>
  <c r="AJ37"/>
  <c r="AI35"/>
  <c r="AJ35"/>
  <c r="AI33"/>
  <c r="AJ33"/>
  <c r="AI29"/>
  <c r="AJ29"/>
  <c r="AI31"/>
  <c r="AJ31"/>
  <c r="AI25"/>
  <c r="AJ25"/>
  <c r="AI23"/>
  <c r="AJ23"/>
  <c r="AI21"/>
  <c r="AJ21"/>
  <c r="AI17"/>
  <c r="AJ17"/>
  <c r="AI16"/>
  <c r="AJ16"/>
  <c r="AJ4"/>
  <c r="AI4"/>
  <c r="I4" i="4"/>
  <c r="J4"/>
  <c r="K4" s="1"/>
  <c r="L4" s="1"/>
  <c r="O4"/>
  <c r="K71" i="1"/>
  <c r="L71" s="1"/>
  <c r="N71"/>
  <c r="AB71" s="1"/>
  <c r="S71"/>
  <c r="AC71"/>
  <c r="K70"/>
  <c r="L70"/>
  <c r="N70"/>
  <c r="S70"/>
  <c r="AB70"/>
  <c r="AC70"/>
  <c r="N4" i="4" l="1"/>
  <c r="M4"/>
  <c r="AJ57" i="9"/>
  <c r="AI57"/>
  <c r="AI5"/>
  <c r="AJ47"/>
  <c r="AI47"/>
  <c r="AJ49"/>
  <c r="AH62"/>
  <c r="AI49"/>
  <c r="AJ5"/>
  <c r="H4" i="4"/>
  <c r="K67" i="1"/>
  <c r="L67" s="1"/>
  <c r="N67"/>
  <c r="S67"/>
  <c r="AB67"/>
  <c r="AC67"/>
  <c r="K66"/>
  <c r="L66" s="1"/>
  <c r="N66"/>
  <c r="AB66" s="1"/>
  <c r="S66"/>
  <c r="AC66"/>
  <c r="K65"/>
  <c r="L65"/>
  <c r="N65"/>
  <c r="S65"/>
  <c r="AB65"/>
  <c r="AC65"/>
  <c r="K69"/>
  <c r="L69" s="1"/>
  <c r="N69"/>
  <c r="S69"/>
  <c r="AB69"/>
  <c r="AC69"/>
  <c r="P4" i="4" l="1"/>
  <c r="K68" i="1"/>
  <c r="L68"/>
  <c r="N68"/>
  <c r="AB68" s="1"/>
  <c r="S68"/>
  <c r="AC68"/>
  <c r="K64"/>
  <c r="L64" s="1"/>
  <c r="N64"/>
  <c r="S64"/>
  <c r="AB64"/>
  <c r="AC64"/>
  <c r="K3" i="3"/>
  <c r="K2"/>
  <c r="F2" l="1"/>
  <c r="G2" s="1"/>
  <c r="J2" s="1"/>
  <c r="H2"/>
  <c r="I2" s="1"/>
  <c r="L2" i="8" l="1"/>
  <c r="L3"/>
  <c r="L4"/>
  <c r="L5"/>
  <c r="K63" i="1" l="1"/>
  <c r="L63" s="1"/>
  <c r="N63"/>
  <c r="AB63" s="1"/>
  <c r="S63"/>
  <c r="AC63"/>
  <c r="K62"/>
  <c r="L62" s="1"/>
  <c r="N62"/>
  <c r="S62"/>
  <c r="AB62"/>
  <c r="AC62"/>
  <c r="AH62"/>
  <c r="AI62"/>
  <c r="AJ62"/>
  <c r="K61"/>
  <c r="L61" s="1"/>
  <c r="N61"/>
  <c r="S61"/>
  <c r="AB61"/>
  <c r="AC61"/>
  <c r="AE61"/>
  <c r="K60"/>
  <c r="L60" s="1"/>
  <c r="N60"/>
  <c r="S60"/>
  <c r="AB60"/>
  <c r="AC60"/>
  <c r="AD60"/>
  <c r="AH60"/>
  <c r="AI60"/>
  <c r="AJ60"/>
  <c r="S54" l="1"/>
  <c r="S2"/>
  <c r="S3"/>
  <c r="S4"/>
  <c r="S5"/>
  <c r="S6"/>
  <c r="S7"/>
  <c r="S8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47"/>
  <c r="S48"/>
  <c r="S49"/>
  <c r="S50"/>
  <c r="S51"/>
  <c r="S52"/>
  <c r="S53"/>
  <c r="S55"/>
  <c r="S56"/>
  <c r="S57"/>
  <c r="S58"/>
  <c r="S59"/>
  <c r="T2"/>
  <c r="T18"/>
  <c r="T34"/>
  <c r="T50"/>
  <c r="N54"/>
  <c r="N2"/>
  <c r="N3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5"/>
  <c r="AB55" s="1"/>
  <c r="N56"/>
  <c r="N57"/>
  <c r="N58"/>
  <c r="N59"/>
  <c r="K57"/>
  <c r="L57" s="1"/>
  <c r="AB57"/>
  <c r="AC57"/>
  <c r="K55"/>
  <c r="L55" s="1"/>
  <c r="AC55"/>
  <c r="AH55"/>
  <c r="AI55"/>
  <c r="AJ55"/>
  <c r="O95" l="1"/>
  <c r="P95"/>
  <c r="Q95"/>
  <c r="R95"/>
  <c r="T95"/>
  <c r="O94"/>
  <c r="P94"/>
  <c r="Q94"/>
  <c r="R94"/>
  <c r="T94"/>
  <c r="O93"/>
  <c r="P93"/>
  <c r="Q93"/>
  <c r="R93"/>
  <c r="T93"/>
  <c r="O92"/>
  <c r="P92"/>
  <c r="Q92"/>
  <c r="R92"/>
  <c r="T92"/>
  <c r="T58"/>
  <c r="T59"/>
  <c r="T30"/>
  <c r="T3"/>
  <c r="T57"/>
  <c r="V57" s="1"/>
  <c r="T42"/>
  <c r="T26"/>
  <c r="T10"/>
  <c r="T46"/>
  <c r="T14"/>
  <c r="T54"/>
  <c r="T38"/>
  <c r="T22"/>
  <c r="T6"/>
  <c r="T49"/>
  <c r="T41"/>
  <c r="T33"/>
  <c r="T25"/>
  <c r="T17"/>
  <c r="T13"/>
  <c r="T9"/>
  <c r="T5"/>
  <c r="T56"/>
  <c r="T52"/>
  <c r="T48"/>
  <c r="T44"/>
  <c r="T40"/>
  <c r="T36"/>
  <c r="T32"/>
  <c r="T28"/>
  <c r="T24"/>
  <c r="T20"/>
  <c r="T16"/>
  <c r="T12"/>
  <c r="T8"/>
  <c r="T4"/>
  <c r="T53"/>
  <c r="T45"/>
  <c r="T37"/>
  <c r="T29"/>
  <c r="T21"/>
  <c r="T55"/>
  <c r="T51"/>
  <c r="T47"/>
  <c r="T43"/>
  <c r="T39"/>
  <c r="T35"/>
  <c r="T31"/>
  <c r="T27"/>
  <c r="T23"/>
  <c r="T19"/>
  <c r="T15"/>
  <c r="T11"/>
  <c r="T7"/>
  <c r="O91"/>
  <c r="P91"/>
  <c r="Q91"/>
  <c r="R91"/>
  <c r="T91"/>
  <c r="O90"/>
  <c r="P90"/>
  <c r="Q90"/>
  <c r="R90"/>
  <c r="T90"/>
  <c r="O87"/>
  <c r="P87"/>
  <c r="Q87"/>
  <c r="R87"/>
  <c r="T87"/>
  <c r="O89"/>
  <c r="P89"/>
  <c r="Q89"/>
  <c r="R89"/>
  <c r="T89"/>
  <c r="O88"/>
  <c r="P88"/>
  <c r="Q88"/>
  <c r="R88"/>
  <c r="T88"/>
  <c r="O86"/>
  <c r="P86"/>
  <c r="Q86"/>
  <c r="R86"/>
  <c r="T86"/>
  <c r="O85"/>
  <c r="P85"/>
  <c r="Q85"/>
  <c r="R85"/>
  <c r="T85"/>
  <c r="O84"/>
  <c r="P84"/>
  <c r="Q84"/>
  <c r="R84"/>
  <c r="T84"/>
  <c r="O82"/>
  <c r="P82"/>
  <c r="Q82"/>
  <c r="R82"/>
  <c r="T82"/>
  <c r="O83"/>
  <c r="P83"/>
  <c r="Q83"/>
  <c r="R83"/>
  <c r="T83"/>
  <c r="O81"/>
  <c r="P81"/>
  <c r="Q81"/>
  <c r="R81"/>
  <c r="T81"/>
  <c r="O80"/>
  <c r="P80"/>
  <c r="Q80"/>
  <c r="R80"/>
  <c r="T80"/>
  <c r="O78"/>
  <c r="P78"/>
  <c r="Q78"/>
  <c r="R78"/>
  <c r="T78"/>
  <c r="O79"/>
  <c r="P79"/>
  <c r="Q79"/>
  <c r="R79"/>
  <c r="T79"/>
  <c r="O75"/>
  <c r="P75"/>
  <c r="Q75"/>
  <c r="R75"/>
  <c r="T75"/>
  <c r="O76"/>
  <c r="P76"/>
  <c r="Q76"/>
  <c r="R76"/>
  <c r="T76"/>
  <c r="O77"/>
  <c r="P77"/>
  <c r="Q77"/>
  <c r="R77"/>
  <c r="T77"/>
  <c r="O74"/>
  <c r="P74"/>
  <c r="Q74"/>
  <c r="R74"/>
  <c r="T74"/>
  <c r="O72"/>
  <c r="P72"/>
  <c r="Q72"/>
  <c r="R72"/>
  <c r="T72"/>
  <c r="O73"/>
  <c r="P73"/>
  <c r="Q73"/>
  <c r="R73"/>
  <c r="T73"/>
  <c r="O71"/>
  <c r="P71"/>
  <c r="Q71"/>
  <c r="R71"/>
  <c r="T71"/>
  <c r="O70"/>
  <c r="P70"/>
  <c r="Q70"/>
  <c r="R70"/>
  <c r="T70"/>
  <c r="O67"/>
  <c r="P67"/>
  <c r="Q67"/>
  <c r="R67"/>
  <c r="T67"/>
  <c r="O66"/>
  <c r="P66"/>
  <c r="Q66"/>
  <c r="R66"/>
  <c r="T66"/>
  <c r="O65"/>
  <c r="P65"/>
  <c r="Q65"/>
  <c r="R65"/>
  <c r="T65"/>
  <c r="O69"/>
  <c r="P69"/>
  <c r="Q69"/>
  <c r="R69"/>
  <c r="T69"/>
  <c r="O68"/>
  <c r="P68"/>
  <c r="Q68"/>
  <c r="R68"/>
  <c r="T68"/>
  <c r="O64"/>
  <c r="P64"/>
  <c r="Q64"/>
  <c r="R64"/>
  <c r="T64"/>
  <c r="O63"/>
  <c r="P63"/>
  <c r="Q63"/>
  <c r="R63"/>
  <c r="T63"/>
  <c r="O62"/>
  <c r="P62"/>
  <c r="Q62"/>
  <c r="R62"/>
  <c r="T62"/>
  <c r="O61"/>
  <c r="P61"/>
  <c r="Q61"/>
  <c r="R61"/>
  <c r="T61"/>
  <c r="O60"/>
  <c r="P60"/>
  <c r="Q60"/>
  <c r="R60"/>
  <c r="T60"/>
  <c r="AJ2"/>
  <c r="AJ3"/>
  <c r="AJ4"/>
  <c r="AJ5"/>
  <c r="AJ6"/>
  <c r="AJ7"/>
  <c r="AJ8"/>
  <c r="AJ9"/>
  <c r="AJ10"/>
  <c r="AJ11"/>
  <c r="AJ12"/>
  <c r="AJ13"/>
  <c r="AJ14"/>
  <c r="AJ15"/>
  <c r="AJ16"/>
  <c r="AJ17"/>
  <c r="AJ18"/>
  <c r="AJ19"/>
  <c r="AJ21"/>
  <c r="AJ22"/>
  <c r="AJ23"/>
  <c r="AJ24"/>
  <c r="AJ25"/>
  <c r="AJ26"/>
  <c r="AJ27"/>
  <c r="AJ28"/>
  <c r="AJ29"/>
  <c r="AJ31"/>
  <c r="AJ32"/>
  <c r="AJ33"/>
  <c r="AJ34"/>
  <c r="AJ35"/>
  <c r="AJ36"/>
  <c r="AJ37"/>
  <c r="AJ38"/>
  <c r="AJ39"/>
  <c r="AJ40"/>
  <c r="AJ41"/>
  <c r="AJ42"/>
  <c r="AJ43"/>
  <c r="AJ44"/>
  <c r="AJ45"/>
  <c r="AJ46"/>
  <c r="AJ48"/>
  <c r="AJ49"/>
  <c r="AJ50"/>
  <c r="AJ51"/>
  <c r="AJ52"/>
  <c r="AJ53"/>
  <c r="I2" i="8"/>
  <c r="K2" s="1"/>
  <c r="I3"/>
  <c r="K3" s="1"/>
  <c r="I4"/>
  <c r="K4" s="1"/>
  <c r="I5"/>
  <c r="K5" s="1"/>
  <c r="H2"/>
  <c r="J2" s="1"/>
  <c r="H3"/>
  <c r="J3" s="1"/>
  <c r="H4"/>
  <c r="J4" s="1"/>
  <c r="H5"/>
  <c r="J5" s="1"/>
  <c r="U95" i="1" l="1"/>
  <c r="V95"/>
  <c r="W95"/>
  <c r="U94"/>
  <c r="V94"/>
  <c r="W94"/>
  <c r="U93"/>
  <c r="V93"/>
  <c r="W93"/>
  <c r="U92"/>
  <c r="V92"/>
  <c r="W92"/>
  <c r="U57"/>
  <c r="V55"/>
  <c r="U55"/>
  <c r="U91"/>
  <c r="V91"/>
  <c r="U90"/>
  <c r="V90"/>
  <c r="W90" s="1"/>
  <c r="U87"/>
  <c r="V87"/>
  <c r="W87"/>
  <c r="U89"/>
  <c r="V89"/>
  <c r="U88"/>
  <c r="V88"/>
  <c r="U86"/>
  <c r="V86"/>
  <c r="U85"/>
  <c r="W85" s="1"/>
  <c r="V85"/>
  <c r="U84"/>
  <c r="W84" s="1"/>
  <c r="V84"/>
  <c r="U82"/>
  <c r="W82" s="1"/>
  <c r="V82"/>
  <c r="U83"/>
  <c r="V83"/>
  <c r="W83"/>
  <c r="U81"/>
  <c r="V81"/>
  <c r="W81"/>
  <c r="U80"/>
  <c r="W80" s="1"/>
  <c r="V80"/>
  <c r="U78"/>
  <c r="W78" s="1"/>
  <c r="V78"/>
  <c r="U79"/>
  <c r="W79" s="1"/>
  <c r="V79"/>
  <c r="U75"/>
  <c r="W75" s="1"/>
  <c r="V75"/>
  <c r="U76"/>
  <c r="W76" s="1"/>
  <c r="V76"/>
  <c r="U77"/>
  <c r="V77"/>
  <c r="U74"/>
  <c r="V74"/>
  <c r="W74"/>
  <c r="U72"/>
  <c r="V72"/>
  <c r="W72"/>
  <c r="U73"/>
  <c r="W73" s="1"/>
  <c r="V73"/>
  <c r="U71"/>
  <c r="V71"/>
  <c r="U70"/>
  <c r="V70"/>
  <c r="U67"/>
  <c r="V67"/>
  <c r="U66"/>
  <c r="W66" s="1"/>
  <c r="X66" s="1"/>
  <c r="V66"/>
  <c r="U65"/>
  <c r="W65" s="1"/>
  <c r="X65" s="1"/>
  <c r="V65"/>
  <c r="U69"/>
  <c r="V69"/>
  <c r="W69"/>
  <c r="X69" s="1"/>
  <c r="U68"/>
  <c r="V68"/>
  <c r="W68"/>
  <c r="X68" s="1"/>
  <c r="U64"/>
  <c r="V64"/>
  <c r="U63"/>
  <c r="V63"/>
  <c r="U62"/>
  <c r="V62"/>
  <c r="U61"/>
  <c r="V61"/>
  <c r="U60"/>
  <c r="V60"/>
  <c r="M5" i="8"/>
  <c r="N5" s="1"/>
  <c r="M4"/>
  <c r="N4" s="1"/>
  <c r="M3"/>
  <c r="N3" s="1"/>
  <c r="M2"/>
  <c r="N2" s="1"/>
  <c r="X94" i="1" l="1"/>
  <c r="X95"/>
  <c r="X93"/>
  <c r="X92"/>
  <c r="W61"/>
  <c r="X61" s="1"/>
  <c r="W62"/>
  <c r="X62" s="1"/>
  <c r="W64"/>
  <c r="X64" s="1"/>
  <c r="W67"/>
  <c r="X67" s="1"/>
  <c r="W70"/>
  <c r="W77"/>
  <c r="W86"/>
  <c r="W89"/>
  <c r="W91"/>
  <c r="W63"/>
  <c r="X63" s="1"/>
  <c r="W71"/>
  <c r="W88"/>
  <c r="X88" s="1"/>
  <c r="W60"/>
  <c r="X60" s="1"/>
  <c r="X91"/>
  <c r="X90"/>
  <c r="X89"/>
  <c r="X87"/>
  <c r="X86"/>
  <c r="X84"/>
  <c r="X85"/>
  <c r="X83"/>
  <c r="X82"/>
  <c r="X80"/>
  <c r="X81"/>
  <c r="X79"/>
  <c r="X78"/>
  <c r="X76"/>
  <c r="X75"/>
  <c r="X77"/>
  <c r="X74"/>
  <c r="X73"/>
  <c r="X72"/>
  <c r="X71"/>
  <c r="X70"/>
  <c r="N6" i="8"/>
  <c r="K56" i="1" l="1"/>
  <c r="L56" s="1"/>
  <c r="U56"/>
  <c r="V56"/>
  <c r="AB56"/>
  <c r="AC56"/>
  <c r="K54"/>
  <c r="L54"/>
  <c r="U54"/>
  <c r="V54"/>
  <c r="AB54"/>
  <c r="AC54"/>
  <c r="K53"/>
  <c r="L53"/>
  <c r="U53"/>
  <c r="V53"/>
  <c r="AB53"/>
  <c r="AC53"/>
  <c r="AH53"/>
  <c r="AI53"/>
  <c r="K52"/>
  <c r="L52"/>
  <c r="U52"/>
  <c r="V52"/>
  <c r="AB52"/>
  <c r="AC52"/>
  <c r="AH52"/>
  <c r="AI52"/>
  <c r="K51" l="1"/>
  <c r="L51"/>
  <c r="U51"/>
  <c r="V51"/>
  <c r="AB51"/>
  <c r="AC51"/>
  <c r="AH51"/>
  <c r="AI51"/>
  <c r="K48"/>
  <c r="L48"/>
  <c r="U48"/>
  <c r="V48"/>
  <c r="AB48"/>
  <c r="AC48"/>
  <c r="AE48"/>
  <c r="I5" i="7" l="1"/>
  <c r="J5"/>
  <c r="K5"/>
  <c r="L5" s="1"/>
  <c r="M5"/>
  <c r="N5"/>
  <c r="O5" l="1"/>
  <c r="K50" i="1"/>
  <c r="L50"/>
  <c r="V50"/>
  <c r="AB50"/>
  <c r="AC50"/>
  <c r="K58"/>
  <c r="L58" s="1"/>
  <c r="V58"/>
  <c r="U58"/>
  <c r="AB58"/>
  <c r="AC58"/>
  <c r="K47"/>
  <c r="L47" s="1"/>
  <c r="U47"/>
  <c r="AB47"/>
  <c r="AC47"/>
  <c r="AE47"/>
  <c r="K46"/>
  <c r="L46"/>
  <c r="U46"/>
  <c r="V46"/>
  <c r="AB46"/>
  <c r="AC46"/>
  <c r="AD46"/>
  <c r="I2" i="7"/>
  <c r="I3"/>
  <c r="I4"/>
  <c r="M4" s="1"/>
  <c r="K2"/>
  <c r="K3"/>
  <c r="K4"/>
  <c r="N4"/>
  <c r="J4"/>
  <c r="N3"/>
  <c r="J3"/>
  <c r="M3"/>
  <c r="N2"/>
  <c r="J2"/>
  <c r="M2"/>
  <c r="U50" i="1" l="1"/>
  <c r="V47"/>
  <c r="L2" i="7"/>
  <c r="O2" s="1"/>
  <c r="L3"/>
  <c r="O3" s="1"/>
  <c r="L4"/>
  <c r="O4" s="1"/>
  <c r="N2" i="6" l="1"/>
  <c r="I2" l="1"/>
  <c r="O2"/>
  <c r="K49" i="1" l="1"/>
  <c r="L49" s="1"/>
  <c r="U49"/>
  <c r="V49"/>
  <c r="AB49"/>
  <c r="AC49"/>
  <c r="K59"/>
  <c r="L59" s="1"/>
  <c r="AB59"/>
  <c r="V59"/>
  <c r="U59"/>
  <c r="AC59"/>
  <c r="K39"/>
  <c r="L39" s="1"/>
  <c r="U39"/>
  <c r="AB39"/>
  <c r="AC39"/>
  <c r="AD39"/>
  <c r="K38"/>
  <c r="L38"/>
  <c r="U38"/>
  <c r="V38"/>
  <c r="AB38"/>
  <c r="AC38"/>
  <c r="AE38"/>
  <c r="AH38"/>
  <c r="AI38"/>
  <c r="V39" l="1"/>
  <c r="K45"/>
  <c r="L45"/>
  <c r="U45"/>
  <c r="V45"/>
  <c r="AB45"/>
  <c r="AC45"/>
  <c r="K41"/>
  <c r="L41" s="1"/>
  <c r="V41"/>
  <c r="U41"/>
  <c r="AB41"/>
  <c r="AC41"/>
  <c r="K37"/>
  <c r="L37" s="1"/>
  <c r="U37"/>
  <c r="AB37"/>
  <c r="AC37"/>
  <c r="AE37"/>
  <c r="K36"/>
  <c r="L36"/>
  <c r="AB36"/>
  <c r="U36"/>
  <c r="V36"/>
  <c r="AC36"/>
  <c r="AD36"/>
  <c r="AH36"/>
  <c r="AI36"/>
  <c r="V37" l="1"/>
  <c r="J2" i="5" l="1"/>
  <c r="K2"/>
  <c r="L2"/>
  <c r="T2"/>
  <c r="I2" i="4"/>
  <c r="I3"/>
  <c r="O2"/>
  <c r="O3"/>
  <c r="J2"/>
  <c r="J3"/>
  <c r="M2" i="5" l="1"/>
  <c r="N2" s="1"/>
  <c r="O2" s="1"/>
  <c r="AE33" i="1"/>
  <c r="AE32"/>
  <c r="AE30"/>
  <c r="AE28"/>
  <c r="AE25"/>
  <c r="AE22"/>
  <c r="AE21"/>
  <c r="AE20"/>
  <c r="AE17"/>
  <c r="AE16"/>
  <c r="AE12"/>
  <c r="AE11"/>
  <c r="AE9"/>
  <c r="AE7"/>
  <c r="AE4"/>
  <c r="AE3"/>
  <c r="AE2"/>
  <c r="Q2" i="5" l="1"/>
  <c r="S2"/>
  <c r="R2"/>
  <c r="P2"/>
  <c r="U2" l="1"/>
  <c r="K3" i="4"/>
  <c r="L3" s="1"/>
  <c r="N3" l="1"/>
  <c r="M3"/>
  <c r="H3"/>
  <c r="P3" l="1"/>
  <c r="K43" i="1"/>
  <c r="L43" s="1"/>
  <c r="AB43"/>
  <c r="U43"/>
  <c r="AC43"/>
  <c r="K40"/>
  <c r="L40" s="1"/>
  <c r="U40"/>
  <c r="AB40"/>
  <c r="AC40"/>
  <c r="K44"/>
  <c r="L44" s="1"/>
  <c r="AB44"/>
  <c r="U44"/>
  <c r="AC44"/>
  <c r="AH44"/>
  <c r="AI44"/>
  <c r="K34"/>
  <c r="L34" s="1"/>
  <c r="AB34"/>
  <c r="U34"/>
  <c r="AC34"/>
  <c r="AD34"/>
  <c r="K33"/>
  <c r="L33" s="1"/>
  <c r="U33"/>
  <c r="AB33"/>
  <c r="AC33"/>
  <c r="AH33"/>
  <c r="AI33"/>
  <c r="V43" l="1"/>
  <c r="V44"/>
  <c r="V40"/>
  <c r="V34"/>
  <c r="V33"/>
  <c r="K32" l="1"/>
  <c r="L32" s="1"/>
  <c r="U32"/>
  <c r="AB32"/>
  <c r="AC32"/>
  <c r="K31"/>
  <c r="L31" s="1"/>
  <c r="AB31"/>
  <c r="U31"/>
  <c r="AC31"/>
  <c r="AH31"/>
  <c r="AI31"/>
  <c r="K2" i="4"/>
  <c r="L2" s="1"/>
  <c r="AD29" i="1"/>
  <c r="AB21"/>
  <c r="AB2"/>
  <c r="AB3"/>
  <c r="AB4"/>
  <c r="AB7"/>
  <c r="AB9"/>
  <c r="AB11"/>
  <c r="AB12"/>
  <c r="AB16"/>
  <c r="AB17"/>
  <c r="AB20"/>
  <c r="AB22"/>
  <c r="AB25"/>
  <c r="AB28"/>
  <c r="AB30"/>
  <c r="AB35"/>
  <c r="K42"/>
  <c r="L42" s="1"/>
  <c r="U42"/>
  <c r="AC42"/>
  <c r="AH42"/>
  <c r="AI42"/>
  <c r="K35"/>
  <c r="L35" s="1"/>
  <c r="U35"/>
  <c r="AC35"/>
  <c r="Y27"/>
  <c r="AK27" s="1"/>
  <c r="K30"/>
  <c r="L30" s="1"/>
  <c r="U30"/>
  <c r="AC30"/>
  <c r="K29"/>
  <c r="L29" s="1"/>
  <c r="AB29"/>
  <c r="U29"/>
  <c r="AC29"/>
  <c r="AH29"/>
  <c r="AI29"/>
  <c r="K28"/>
  <c r="L28" s="1"/>
  <c r="U28"/>
  <c r="AC28"/>
  <c r="AH28"/>
  <c r="AI28"/>
  <c r="N2" i="4" l="1"/>
  <c r="M2"/>
  <c r="H2"/>
  <c r="AB42" i="1"/>
  <c r="V32"/>
  <c r="V31"/>
  <c r="V29"/>
  <c r="V30"/>
  <c r="V28"/>
  <c r="V35"/>
  <c r="V42"/>
  <c r="F3" i="3"/>
  <c r="G3" s="1"/>
  <c r="J3" s="1"/>
  <c r="H3"/>
  <c r="I3" s="1"/>
  <c r="P2" i="4" l="1"/>
  <c r="K26" i="1"/>
  <c r="L26" s="1"/>
  <c r="AB26"/>
  <c r="U26"/>
  <c r="AC26"/>
  <c r="K27"/>
  <c r="L27" s="1"/>
  <c r="AB27"/>
  <c r="U27"/>
  <c r="AC27"/>
  <c r="AH27"/>
  <c r="AI27"/>
  <c r="K25"/>
  <c r="L25" s="1"/>
  <c r="U25"/>
  <c r="AC25"/>
  <c r="K24"/>
  <c r="L24" s="1"/>
  <c r="AB24"/>
  <c r="V24"/>
  <c r="AC24"/>
  <c r="AH24"/>
  <c r="AI24"/>
  <c r="K23"/>
  <c r="L23" s="1"/>
  <c r="AB23"/>
  <c r="U23"/>
  <c r="AC23"/>
  <c r="AH23"/>
  <c r="AI23"/>
  <c r="K22"/>
  <c r="L22" s="1"/>
  <c r="U22"/>
  <c r="AC22"/>
  <c r="AH22"/>
  <c r="AI22"/>
  <c r="K21"/>
  <c r="L21" s="1"/>
  <c r="U21"/>
  <c r="AC21"/>
  <c r="AH21"/>
  <c r="AI21"/>
  <c r="V26" l="1"/>
  <c r="V27"/>
  <c r="U24"/>
  <c r="V25"/>
  <c r="V23"/>
  <c r="V22"/>
  <c r="V21"/>
  <c r="AH2"/>
  <c r="AH3"/>
  <c r="AH4"/>
  <c r="AH5"/>
  <c r="AH6"/>
  <c r="AH7"/>
  <c r="AH8"/>
  <c r="AH9"/>
  <c r="AH10"/>
  <c r="AH11"/>
  <c r="AH12"/>
  <c r="AH13"/>
  <c r="AH14"/>
  <c r="AH15"/>
  <c r="AH16"/>
  <c r="AH17"/>
  <c r="AH18"/>
  <c r="AH19"/>
  <c r="K2"/>
  <c r="K3"/>
  <c r="K4"/>
  <c r="K5"/>
  <c r="K6"/>
  <c r="K7"/>
  <c r="K8"/>
  <c r="K9"/>
  <c r="K10"/>
  <c r="K11"/>
  <c r="K12"/>
  <c r="K13"/>
  <c r="K14"/>
  <c r="K15"/>
  <c r="K16"/>
  <c r="K17"/>
  <c r="K18"/>
  <c r="L18" s="1"/>
  <c r="K19"/>
  <c r="L19" s="1"/>
  <c r="K20"/>
  <c r="L20" s="1"/>
  <c r="U20"/>
  <c r="AC20"/>
  <c r="AB19"/>
  <c r="U19"/>
  <c r="AC19"/>
  <c r="AI19"/>
  <c r="AB18"/>
  <c r="U18"/>
  <c r="AC18"/>
  <c r="V20" l="1"/>
  <c r="V19"/>
  <c r="V18"/>
  <c r="L17"/>
  <c r="U17"/>
  <c r="AC17"/>
  <c r="V17" l="1"/>
  <c r="L16"/>
  <c r="U16"/>
  <c r="AC16"/>
  <c r="V16" l="1"/>
  <c r="AI2"/>
  <c r="AI3"/>
  <c r="AI4"/>
  <c r="AI5"/>
  <c r="AI6"/>
  <c r="AI7"/>
  <c r="AI8"/>
  <c r="AI9"/>
  <c r="AI10"/>
  <c r="AI11"/>
  <c r="AI12"/>
  <c r="AI13"/>
  <c r="AI14"/>
  <c r="L13" l="1"/>
  <c r="AB13"/>
  <c r="V13"/>
  <c r="AC13"/>
  <c r="L14"/>
  <c r="AB14"/>
  <c r="U14"/>
  <c r="AC14"/>
  <c r="L15"/>
  <c r="AB15"/>
  <c r="V15"/>
  <c r="AC15"/>
  <c r="L11"/>
  <c r="V11"/>
  <c r="AC11"/>
  <c r="L12"/>
  <c r="V12"/>
  <c r="AC12"/>
  <c r="L9"/>
  <c r="U9"/>
  <c r="AC9"/>
  <c r="L10"/>
  <c r="AB10"/>
  <c r="V10"/>
  <c r="AC10"/>
  <c r="L7"/>
  <c r="V7"/>
  <c r="AC7"/>
  <c r="L8"/>
  <c r="AB8"/>
  <c r="V8"/>
  <c r="AC8"/>
  <c r="L6"/>
  <c r="AB6"/>
  <c r="U6"/>
  <c r="AC6"/>
  <c r="V6" l="1"/>
  <c r="U7"/>
  <c r="U11"/>
  <c r="U8"/>
  <c r="U13"/>
  <c r="U10"/>
  <c r="V9"/>
  <c r="V14"/>
  <c r="U12"/>
  <c r="U15"/>
  <c r="L4"/>
  <c r="L5"/>
  <c r="AB5"/>
  <c r="U5"/>
  <c r="AC5"/>
  <c r="U4"/>
  <c r="AC4"/>
  <c r="V5" l="1"/>
  <c r="V4"/>
  <c r="L3"/>
  <c r="AC3"/>
  <c r="V2"/>
  <c r="AC2"/>
  <c r="M94" l="1"/>
  <c r="M95"/>
  <c r="M92"/>
  <c r="M93"/>
  <c r="M90"/>
  <c r="M91"/>
  <c r="M89"/>
  <c r="M87"/>
  <c r="M86"/>
  <c r="M88"/>
  <c r="M84"/>
  <c r="M85"/>
  <c r="M83"/>
  <c r="M82"/>
  <c r="M80"/>
  <c r="M81"/>
  <c r="M79"/>
  <c r="M78"/>
  <c r="M76"/>
  <c r="M75"/>
  <c r="M74"/>
  <c r="M77"/>
  <c r="M73"/>
  <c r="M72"/>
  <c r="M70"/>
  <c r="M71"/>
  <c r="M67"/>
  <c r="M66"/>
  <c r="M69"/>
  <c r="M65"/>
  <c r="M64"/>
  <c r="M68"/>
  <c r="M62"/>
  <c r="M63"/>
  <c r="M60"/>
  <c r="M61"/>
  <c r="M55"/>
  <c r="M57"/>
  <c r="O57"/>
  <c r="P57"/>
  <c r="Q57"/>
  <c r="R57"/>
  <c r="O55"/>
  <c r="P55"/>
  <c r="Q55"/>
  <c r="R55"/>
  <c r="M54"/>
  <c r="M56"/>
  <c r="O56"/>
  <c r="P56"/>
  <c r="Q56"/>
  <c r="R56"/>
  <c r="O54"/>
  <c r="P54"/>
  <c r="Q54"/>
  <c r="R54"/>
  <c r="M52"/>
  <c r="M53"/>
  <c r="O53"/>
  <c r="P53"/>
  <c r="Q53"/>
  <c r="R53"/>
  <c r="O52"/>
  <c r="P52"/>
  <c r="Q52"/>
  <c r="R52"/>
  <c r="M48"/>
  <c r="M51"/>
  <c r="O51"/>
  <c r="P51"/>
  <c r="Q51"/>
  <c r="R51"/>
  <c r="O48"/>
  <c r="P48"/>
  <c r="Q48"/>
  <c r="R48"/>
  <c r="M58"/>
  <c r="M50"/>
  <c r="O50"/>
  <c r="P50"/>
  <c r="Q50"/>
  <c r="R50"/>
  <c r="O58"/>
  <c r="P58"/>
  <c r="Q58"/>
  <c r="R58"/>
  <c r="M46"/>
  <c r="M47"/>
  <c r="O47"/>
  <c r="P47"/>
  <c r="Q47"/>
  <c r="R47"/>
  <c r="O46"/>
  <c r="P46"/>
  <c r="Q46"/>
  <c r="R46"/>
  <c r="M59"/>
  <c r="M49"/>
  <c r="O49"/>
  <c r="P49"/>
  <c r="Q49"/>
  <c r="R49"/>
  <c r="O59"/>
  <c r="P59"/>
  <c r="Q59"/>
  <c r="R59"/>
  <c r="M38"/>
  <c r="M39"/>
  <c r="O39"/>
  <c r="P39"/>
  <c r="Q39"/>
  <c r="R39"/>
  <c r="O38"/>
  <c r="P38"/>
  <c r="Q38"/>
  <c r="R38"/>
  <c r="M41"/>
  <c r="M45"/>
  <c r="O45"/>
  <c r="P45"/>
  <c r="Q45"/>
  <c r="R45"/>
  <c r="O41"/>
  <c r="P41"/>
  <c r="Q41"/>
  <c r="R41"/>
  <c r="M36"/>
  <c r="M37"/>
  <c r="O37"/>
  <c r="P37"/>
  <c r="Q37"/>
  <c r="R37"/>
  <c r="O36"/>
  <c r="P36"/>
  <c r="Q36"/>
  <c r="R36"/>
  <c r="P15"/>
  <c r="P31"/>
  <c r="P8"/>
  <c r="P24"/>
  <c r="P5"/>
  <c r="P21"/>
  <c r="P44"/>
  <c r="P14"/>
  <c r="P30"/>
  <c r="P3"/>
  <c r="P19"/>
  <c r="P42"/>
  <c r="P12"/>
  <c r="P28"/>
  <c r="P9"/>
  <c r="P25"/>
  <c r="P2"/>
  <c r="P18"/>
  <c r="P34"/>
  <c r="P7"/>
  <c r="P23"/>
  <c r="P43"/>
  <c r="P16"/>
  <c r="P32"/>
  <c r="P13"/>
  <c r="P29"/>
  <c r="P6"/>
  <c r="P22"/>
  <c r="P40"/>
  <c r="P11"/>
  <c r="P27"/>
  <c r="P4"/>
  <c r="P20"/>
  <c r="P35"/>
  <c r="P17"/>
  <c r="P33"/>
  <c r="P10"/>
  <c r="P26"/>
  <c r="M43"/>
  <c r="O43"/>
  <c r="R43"/>
  <c r="Q43"/>
  <c r="O40"/>
  <c r="Q40"/>
  <c r="R40"/>
  <c r="M44"/>
  <c r="M40"/>
  <c r="O44"/>
  <c r="Q44"/>
  <c r="R44"/>
  <c r="O34"/>
  <c r="Q34"/>
  <c r="R34"/>
  <c r="M33"/>
  <c r="M34"/>
  <c r="O33"/>
  <c r="R33"/>
  <c r="Q33"/>
  <c r="O32"/>
  <c r="Q32"/>
  <c r="R32"/>
  <c r="M31"/>
  <c r="M32"/>
  <c r="O31"/>
  <c r="Q31"/>
  <c r="R31"/>
  <c r="M42"/>
  <c r="M35"/>
  <c r="O42"/>
  <c r="Q42"/>
  <c r="R42"/>
  <c r="O35"/>
  <c r="Q35"/>
  <c r="R35"/>
  <c r="M29"/>
  <c r="M30"/>
  <c r="O30"/>
  <c r="Q30"/>
  <c r="R30"/>
  <c r="O29"/>
  <c r="Q29"/>
  <c r="R29"/>
  <c r="M26"/>
  <c r="M28"/>
  <c r="O28"/>
  <c r="Q28"/>
  <c r="R28"/>
  <c r="O26"/>
  <c r="R26"/>
  <c r="Q26"/>
  <c r="M25"/>
  <c r="M27"/>
  <c r="O27"/>
  <c r="R27"/>
  <c r="Q27"/>
  <c r="O25"/>
  <c r="R25"/>
  <c r="Q25"/>
  <c r="M23"/>
  <c r="M24"/>
  <c r="Q24"/>
  <c r="R24"/>
  <c r="O24"/>
  <c r="W24" s="1"/>
  <c r="X24" s="1"/>
  <c r="Q23"/>
  <c r="R23"/>
  <c r="O23"/>
  <c r="W23" s="1"/>
  <c r="X23" s="1"/>
  <c r="Q22"/>
  <c r="R22"/>
  <c r="O22"/>
  <c r="M21"/>
  <c r="M22"/>
  <c r="Q21"/>
  <c r="R21"/>
  <c r="O21"/>
  <c r="W21" s="1"/>
  <c r="X21" s="1"/>
  <c r="M20"/>
  <c r="O20"/>
  <c r="R20"/>
  <c r="Q20"/>
  <c r="O19"/>
  <c r="R19"/>
  <c r="Q19"/>
  <c r="M18"/>
  <c r="M19"/>
  <c r="O18"/>
  <c r="R18"/>
  <c r="Q18"/>
  <c r="M17"/>
  <c r="R17"/>
  <c r="O17"/>
  <c r="Q17"/>
  <c r="M16"/>
  <c r="O16"/>
  <c r="R16"/>
  <c r="Q16"/>
  <c r="M13"/>
  <c r="M14"/>
  <c r="M15"/>
  <c r="O13"/>
  <c r="Q13"/>
  <c r="R13"/>
  <c r="O14"/>
  <c r="Q14"/>
  <c r="R14"/>
  <c r="O15"/>
  <c r="Q15"/>
  <c r="R15"/>
  <c r="M11"/>
  <c r="M12"/>
  <c r="O11"/>
  <c r="Q11"/>
  <c r="R11"/>
  <c r="O12"/>
  <c r="Q12"/>
  <c r="R12"/>
  <c r="M9"/>
  <c r="M10"/>
  <c r="O9"/>
  <c r="Q9"/>
  <c r="R9"/>
  <c r="O10"/>
  <c r="Q10"/>
  <c r="R10"/>
  <c r="M7"/>
  <c r="M8"/>
  <c r="O7"/>
  <c r="Q7"/>
  <c r="R7"/>
  <c r="O8"/>
  <c r="Q8"/>
  <c r="R8"/>
  <c r="M6"/>
  <c r="O6"/>
  <c r="Q6"/>
  <c r="R6"/>
  <c r="R4"/>
  <c r="Q5"/>
  <c r="R2"/>
  <c r="Q3"/>
  <c r="R3"/>
  <c r="Q4"/>
  <c r="R5"/>
  <c r="Q2"/>
  <c r="U3"/>
  <c r="V3"/>
  <c r="M5"/>
  <c r="O5"/>
  <c r="W5" s="1"/>
  <c r="X5" s="1"/>
  <c r="L2"/>
  <c r="U2"/>
  <c r="W22" l="1"/>
  <c r="X22" s="1"/>
  <c r="W6"/>
  <c r="X6" s="1"/>
  <c r="W8"/>
  <c r="X8" s="1"/>
  <c r="W7"/>
  <c r="X7" s="1"/>
  <c r="W10"/>
  <c r="X10" s="1"/>
  <c r="W9"/>
  <c r="X9" s="1"/>
  <c r="W12"/>
  <c r="X12" s="1"/>
  <c r="W11"/>
  <c r="X11" s="1"/>
  <c r="W15"/>
  <c r="X15" s="1"/>
  <c r="W14"/>
  <c r="X14" s="1"/>
  <c r="W13"/>
  <c r="X13" s="1"/>
  <c r="W16"/>
  <c r="X16" s="1"/>
  <c r="W17"/>
  <c r="X17" s="1"/>
  <c r="W18"/>
  <c r="X18" s="1"/>
  <c r="W19"/>
  <c r="X19" s="1"/>
  <c r="W20"/>
  <c r="X20" s="1"/>
  <c r="W25"/>
  <c r="X25" s="1"/>
  <c r="W27"/>
  <c r="X27" s="1"/>
  <c r="W26"/>
  <c r="X26" s="1"/>
  <c r="W28"/>
  <c r="X28" s="1"/>
  <c r="W29"/>
  <c r="X29" s="1"/>
  <c r="W30"/>
  <c r="X30" s="1"/>
  <c r="W35"/>
  <c r="X35" s="1"/>
  <c r="W42"/>
  <c r="X42" s="1"/>
  <c r="W31"/>
  <c r="X31" s="1"/>
  <c r="W32"/>
  <c r="X32" s="1"/>
  <c r="W33"/>
  <c r="X33" s="1"/>
  <c r="W34"/>
  <c r="X34" s="1"/>
  <c r="W44"/>
  <c r="X44" s="1"/>
  <c r="W40"/>
  <c r="X40" s="1"/>
  <c r="W43"/>
  <c r="X43" s="1"/>
  <c r="W36"/>
  <c r="X36" s="1"/>
  <c r="W37"/>
  <c r="X37" s="1"/>
  <c r="W41"/>
  <c r="X41" s="1"/>
  <c r="W45"/>
  <c r="X45" s="1"/>
  <c r="W38"/>
  <c r="X38" s="1"/>
  <c r="W39"/>
  <c r="X39" s="1"/>
  <c r="W59"/>
  <c r="X59" s="1"/>
  <c r="W49"/>
  <c r="X49" s="1"/>
  <c r="W46"/>
  <c r="X46" s="1"/>
  <c r="W47"/>
  <c r="X47" s="1"/>
  <c r="W58"/>
  <c r="X58" s="1"/>
  <c r="W50"/>
  <c r="X50" s="1"/>
  <c r="W48"/>
  <c r="X48" s="1"/>
  <c r="W51"/>
  <c r="X51" s="1"/>
  <c r="W52"/>
  <c r="X52" s="1"/>
  <c r="W53"/>
  <c r="X53" s="1"/>
  <c r="W54"/>
  <c r="X54" s="1"/>
  <c r="W56"/>
  <c r="X56" s="1"/>
  <c r="W55"/>
  <c r="X55" s="1"/>
  <c r="W57"/>
  <c r="X57" s="1"/>
  <c r="AI18"/>
  <c r="M4"/>
  <c r="M3"/>
  <c r="M2"/>
  <c r="AJ66" l="1"/>
  <c r="AJ65"/>
  <c r="AJ64"/>
  <c r="AJ68"/>
  <c r="AJ63"/>
  <c r="O4"/>
  <c r="W4" s="1"/>
  <c r="X4" s="1"/>
  <c r="O3"/>
  <c r="W3" s="1"/>
  <c r="X3" s="1"/>
  <c r="O2"/>
  <c r="W2" s="1"/>
  <c r="X2" s="1"/>
  <c r="Y94" l="1"/>
  <c r="AK94" s="1"/>
  <c r="Y95"/>
  <c r="AK95" s="1"/>
  <c r="Y92"/>
  <c r="AK92" s="1"/>
  <c r="Y93"/>
  <c r="Y91"/>
  <c r="AK91" s="1"/>
  <c r="AJ90"/>
  <c r="Y90"/>
  <c r="AK90" s="1"/>
  <c r="Y89"/>
  <c r="AK89" s="1"/>
  <c r="AJ89"/>
  <c r="AJ88"/>
  <c r="Y87"/>
  <c r="AK87" s="1"/>
  <c r="Y86"/>
  <c r="AK86" s="1"/>
  <c r="Y88"/>
  <c r="AK88" s="1"/>
  <c r="Y83"/>
  <c r="AK83" s="1"/>
  <c r="Y84"/>
  <c r="AK84" s="1"/>
  <c r="Y85"/>
  <c r="AK85" s="1"/>
  <c r="AJ81"/>
  <c r="Y82"/>
  <c r="AK82" s="1"/>
  <c r="AJ79"/>
  <c r="Y80"/>
  <c r="AK80" s="1"/>
  <c r="Y81"/>
  <c r="AK81" s="1"/>
  <c r="Y78"/>
  <c r="AK78" s="1"/>
  <c r="Y79"/>
  <c r="AK79" s="1"/>
  <c r="Y75"/>
  <c r="AK75" s="1"/>
  <c r="Y76"/>
  <c r="AK76" s="1"/>
  <c r="Y74"/>
  <c r="AK74" s="1"/>
  <c r="AJ77"/>
  <c r="Y77"/>
  <c r="AK77" s="1"/>
  <c r="AJ73"/>
  <c r="AJ74"/>
  <c r="Y72"/>
  <c r="AK72" s="1"/>
  <c r="Y73"/>
  <c r="AK73" s="1"/>
  <c r="AJ70"/>
  <c r="Y71"/>
  <c r="AK71" s="1"/>
  <c r="AJ71"/>
  <c r="AJ67"/>
  <c r="Y70"/>
  <c r="AK70" s="1"/>
  <c r="AJ61"/>
  <c r="Y61"/>
  <c r="AK61" s="1"/>
  <c r="Y60"/>
  <c r="AK60" s="1"/>
  <c r="Y63"/>
  <c r="AK63" s="1"/>
  <c r="Y62"/>
  <c r="AK62" s="1"/>
  <c r="Y64"/>
  <c r="AK64" s="1"/>
  <c r="Y68"/>
  <c r="AK68" s="1"/>
  <c r="Y65"/>
  <c r="AK65" s="1"/>
  <c r="Y69"/>
  <c r="AK69" s="1"/>
  <c r="AJ69"/>
  <c r="Y66"/>
  <c r="AK66" s="1"/>
  <c r="Y67"/>
  <c r="AK67" s="1"/>
  <c r="AJ58"/>
  <c r="AJ57"/>
  <c r="Y57"/>
  <c r="AK57" s="1"/>
  <c r="Y55"/>
  <c r="AK55" s="1"/>
  <c r="AJ54"/>
  <c r="AJ20"/>
  <c r="AJ30"/>
  <c r="AJ47"/>
  <c r="AJ59"/>
  <c r="AJ56"/>
  <c r="Y54"/>
  <c r="AK54" s="1"/>
  <c r="Y56"/>
  <c r="AK56" s="1"/>
  <c r="Y52"/>
  <c r="AK52" s="1"/>
  <c r="Y53"/>
  <c r="AK53" s="1"/>
  <c r="Y51"/>
  <c r="AK51" s="1"/>
  <c r="Y48"/>
  <c r="AK48" s="1"/>
  <c r="Y50"/>
  <c r="AK50" s="1"/>
  <c r="Y58"/>
  <c r="AK58" s="1"/>
  <c r="Y47"/>
  <c r="AK47" s="1"/>
  <c r="Y46"/>
  <c r="AK46" s="1"/>
  <c r="Y49"/>
  <c r="AK49" s="1"/>
  <c r="Y59"/>
  <c r="AK59" s="1"/>
  <c r="Y39"/>
  <c r="AK39" s="1"/>
  <c r="Y38"/>
  <c r="AK38" s="1"/>
  <c r="Y45"/>
  <c r="AK45" s="1"/>
  <c r="Y41"/>
  <c r="AK41" s="1"/>
  <c r="Y36"/>
  <c r="AK36" s="1"/>
  <c r="Y37"/>
  <c r="AK37" s="1"/>
  <c r="Y43"/>
  <c r="AK43" s="1"/>
  <c r="Y44"/>
  <c r="AK44" s="1"/>
  <c r="Y40"/>
  <c r="AK40" s="1"/>
  <c r="Y34"/>
  <c r="AK34" s="1"/>
  <c r="Y33"/>
  <c r="AK33" s="1"/>
  <c r="Y32"/>
  <c r="AK32" s="1"/>
  <c r="Y31"/>
  <c r="AK31" s="1"/>
  <c r="Y8"/>
  <c r="AK8" s="1"/>
  <c r="Y16"/>
  <c r="AK16" s="1"/>
  <c r="Y29"/>
  <c r="AK29" s="1"/>
  <c r="Y12"/>
  <c r="AK12" s="1"/>
  <c r="Y24"/>
  <c r="AK24" s="1"/>
  <c r="Y7"/>
  <c r="AK7" s="1"/>
  <c r="Y20"/>
  <c r="AK20" s="1"/>
  <c r="Y23"/>
  <c r="AK23" s="1"/>
  <c r="Y15"/>
  <c r="AK15" s="1"/>
  <c r="Y11"/>
  <c r="AK11" s="1"/>
  <c r="Y6"/>
  <c r="AK6" s="1"/>
  <c r="Y26"/>
  <c r="AK26" s="1"/>
  <c r="Y22"/>
  <c r="AK22" s="1"/>
  <c r="Y18"/>
  <c r="AK18" s="1"/>
  <c r="Y14"/>
  <c r="AK14" s="1"/>
  <c r="Y9"/>
  <c r="AK9" s="1"/>
  <c r="Y10"/>
  <c r="AK10" s="1"/>
  <c r="Y28"/>
  <c r="AK28" s="1"/>
  <c r="Y19"/>
  <c r="AK19" s="1"/>
  <c r="Y3"/>
  <c r="AK3" s="1"/>
  <c r="Y30"/>
  <c r="AK30" s="1"/>
  <c r="Y25"/>
  <c r="AK25" s="1"/>
  <c r="Y21"/>
  <c r="AK21" s="1"/>
  <c r="Y17"/>
  <c r="AK17" s="1"/>
  <c r="Y13"/>
  <c r="AK13" s="1"/>
  <c r="Y5"/>
  <c r="AK5" s="1"/>
  <c r="Y42"/>
  <c r="AK42" s="1"/>
  <c r="Y35"/>
  <c r="AK35" s="1"/>
  <c r="Y4"/>
  <c r="AK4" s="1"/>
  <c r="AK93" l="1"/>
  <c r="Y2"/>
  <c r="Z95" s="1"/>
  <c r="AA95" s="1"/>
  <c r="AE95" s="1"/>
  <c r="AK2" l="1"/>
  <c r="Z94"/>
  <c r="AA94" s="1"/>
  <c r="Z93"/>
  <c r="AA93" s="1"/>
  <c r="AE93" s="1"/>
  <c r="Z91"/>
  <c r="AA91" s="1"/>
  <c r="AE91" s="1"/>
  <c r="Z92"/>
  <c r="AA92" s="1"/>
  <c r="Z87"/>
  <c r="AA87" s="1"/>
  <c r="Z90"/>
  <c r="AA90" s="1"/>
  <c r="AE90" s="1"/>
  <c r="Z88"/>
  <c r="AA88" s="1"/>
  <c r="AE88" s="1"/>
  <c r="Z89"/>
  <c r="AA89" s="1"/>
  <c r="AE89" s="1"/>
  <c r="Z85"/>
  <c r="AA85" s="1"/>
  <c r="AE85" s="1"/>
  <c r="Z86"/>
  <c r="AA86" s="1"/>
  <c r="Z82"/>
  <c r="AA82" s="1"/>
  <c r="Z84"/>
  <c r="AA84" s="1"/>
  <c r="Z81"/>
  <c r="AA81" s="1"/>
  <c r="AE81" s="1"/>
  <c r="Z83"/>
  <c r="AA83" s="1"/>
  <c r="AE83" s="1"/>
  <c r="Z78"/>
  <c r="AA78" s="1"/>
  <c r="Z80"/>
  <c r="AA80" s="1"/>
  <c r="Z75"/>
  <c r="AA75" s="1"/>
  <c r="Z79"/>
  <c r="AA79" s="1"/>
  <c r="AE79" s="1"/>
  <c r="Z74"/>
  <c r="AA74" s="1"/>
  <c r="Z76"/>
  <c r="AA76" s="1"/>
  <c r="AE76" s="1"/>
  <c r="Z77"/>
  <c r="AA77" s="1"/>
  <c r="AE77" s="1"/>
  <c r="Z73"/>
  <c r="AA73" s="1"/>
  <c r="AE73" s="1"/>
  <c r="Z72"/>
  <c r="AA72" s="1"/>
  <c r="Z70"/>
  <c r="AA70" s="1"/>
  <c r="Z71"/>
  <c r="AA71" s="1"/>
  <c r="AE71" s="1"/>
  <c r="Z67"/>
  <c r="AA67" s="1"/>
  <c r="Z66"/>
  <c r="AA66" s="1"/>
  <c r="AE66" s="1"/>
  <c r="Z69"/>
  <c r="AA69" s="1"/>
  <c r="Z65"/>
  <c r="AA65" s="1"/>
  <c r="Z64"/>
  <c r="AA64" s="1"/>
  <c r="AE64" s="1"/>
  <c r="Z68"/>
  <c r="AA68" s="1"/>
  <c r="Z62"/>
  <c r="AA62" s="1"/>
  <c r="AD62" s="1"/>
  <c r="Z63"/>
  <c r="AA63" s="1"/>
  <c r="AE63" s="1"/>
  <c r="Z60"/>
  <c r="AA60" s="1"/>
  <c r="Z61"/>
  <c r="AA61" s="1"/>
  <c r="Z55"/>
  <c r="AA55" s="1"/>
  <c r="AE55" s="1"/>
  <c r="Z57"/>
  <c r="AA57" s="1"/>
  <c r="AE57" s="1"/>
  <c r="Z54"/>
  <c r="AA54" s="1"/>
  <c r="Z56"/>
  <c r="AA56" s="1"/>
  <c r="Z52"/>
  <c r="AA52" s="1"/>
  <c r="Z53"/>
  <c r="AA53" s="1"/>
  <c r="AE53" s="1"/>
  <c r="Z48"/>
  <c r="AA48" s="1"/>
  <c r="Z51"/>
  <c r="AA51" s="1"/>
  <c r="AE51" s="1"/>
  <c r="Z58"/>
  <c r="AA58" s="1"/>
  <c r="AE58" s="1"/>
  <c r="Z50"/>
  <c r="AA50" s="1"/>
  <c r="AD50" s="1"/>
  <c r="Z46"/>
  <c r="AA46" s="1"/>
  <c r="Z47"/>
  <c r="AA47" s="1"/>
  <c r="Z59"/>
  <c r="AA59" s="1"/>
  <c r="AE59" s="1"/>
  <c r="Z49"/>
  <c r="AA49" s="1"/>
  <c r="AD49" s="1"/>
  <c r="Z38"/>
  <c r="AA38" s="1"/>
  <c r="Z39"/>
  <c r="AA39" s="1"/>
  <c r="Z41"/>
  <c r="AA41" s="1"/>
  <c r="Z45"/>
  <c r="AA45" s="1"/>
  <c r="Z36"/>
  <c r="AA36" s="1"/>
  <c r="Z37"/>
  <c r="AA37" s="1"/>
  <c r="Z40"/>
  <c r="AA40" s="1"/>
  <c r="Z43"/>
  <c r="AA43" s="1"/>
  <c r="AE43" s="1"/>
  <c r="Z34"/>
  <c r="AA34" s="1"/>
  <c r="Z44"/>
  <c r="AA44" s="1"/>
  <c r="AE44" s="1"/>
  <c r="Z32"/>
  <c r="AA32" s="1"/>
  <c r="Z33"/>
  <c r="AA33" s="1"/>
  <c r="Z30"/>
  <c r="AA30" s="1"/>
  <c r="Z31"/>
  <c r="AA31" s="1"/>
  <c r="AE31" s="1"/>
  <c r="Z14"/>
  <c r="AA14" s="1"/>
  <c r="AE14" s="1"/>
  <c r="Z18"/>
  <c r="AA18" s="1"/>
  <c r="AE18" s="1"/>
  <c r="Z6"/>
  <c r="AA6" s="1"/>
  <c r="AE6" s="1"/>
  <c r="Z22"/>
  <c r="AA22" s="1"/>
  <c r="Z3"/>
  <c r="AA3" s="1"/>
  <c r="Z10"/>
  <c r="AA10" s="1"/>
  <c r="AE10" s="1"/>
  <c r="Z27"/>
  <c r="AA27" s="1"/>
  <c r="AE27" s="1"/>
  <c r="Z4"/>
  <c r="AA4" s="1"/>
  <c r="Z12"/>
  <c r="AA12" s="1"/>
  <c r="Z19"/>
  <c r="AA19" s="1"/>
  <c r="AE19" s="1"/>
  <c r="Z26"/>
  <c r="AA26" s="1"/>
  <c r="AE26" s="1"/>
  <c r="Z2"/>
  <c r="Z7"/>
  <c r="AA7" s="1"/>
  <c r="Z11"/>
  <c r="AA11" s="1"/>
  <c r="Z16"/>
  <c r="AA16" s="1"/>
  <c r="Z20"/>
  <c r="AA20" s="1"/>
  <c r="Z24"/>
  <c r="AA24" s="1"/>
  <c r="AE24" s="1"/>
  <c r="Z29"/>
  <c r="AA29" s="1"/>
  <c r="Z8"/>
  <c r="AA8" s="1"/>
  <c r="AE8" s="1"/>
  <c r="Z13"/>
  <c r="AA13" s="1"/>
  <c r="AE13" s="1"/>
  <c r="Z23"/>
  <c r="AA23" s="1"/>
  <c r="AE23" s="1"/>
  <c r="Z5"/>
  <c r="AA5" s="1"/>
  <c r="AE5" s="1"/>
  <c r="Z9"/>
  <c r="AA9" s="1"/>
  <c r="Z15"/>
  <c r="AA15" s="1"/>
  <c r="AE15" s="1"/>
  <c r="Z17"/>
  <c r="AA17" s="1"/>
  <c r="Z21"/>
  <c r="AA21" s="1"/>
  <c r="Z25"/>
  <c r="AA25" s="1"/>
  <c r="Z28"/>
  <c r="AA28" s="1"/>
  <c r="Z42"/>
  <c r="AA42" s="1"/>
  <c r="AE42" s="1"/>
  <c r="Z35"/>
  <c r="AA35" s="1"/>
  <c r="AD95" l="1"/>
  <c r="AF95" s="1"/>
  <c r="AD94"/>
  <c r="AF94" s="1"/>
  <c r="AG94" s="1"/>
  <c r="AD93"/>
  <c r="AF93" s="1"/>
  <c r="AD92"/>
  <c r="AF92" s="1"/>
  <c r="AG92" s="1"/>
  <c r="AD91"/>
  <c r="AF91" s="1"/>
  <c r="AD90"/>
  <c r="AF90" s="1"/>
  <c r="AD89"/>
  <c r="AF89" s="1"/>
  <c r="AD87"/>
  <c r="AF87" s="1"/>
  <c r="AG87" s="1"/>
  <c r="AD88"/>
  <c r="AF88" s="1"/>
  <c r="AD86"/>
  <c r="AF86" s="1"/>
  <c r="AG86" s="1"/>
  <c r="AD85"/>
  <c r="AF85" s="1"/>
  <c r="AD84"/>
  <c r="AF84" s="1"/>
  <c r="AG84" s="1"/>
  <c r="AD83"/>
  <c r="AF83" s="1"/>
  <c r="AD82"/>
  <c r="AF82" s="1"/>
  <c r="AG82" s="1"/>
  <c r="AD81"/>
  <c r="AF81" s="1"/>
  <c r="AD80"/>
  <c r="AF80" s="1"/>
  <c r="AG80" s="1"/>
  <c r="AD79"/>
  <c r="AF79" s="1"/>
  <c r="AD78"/>
  <c r="AF78" s="1"/>
  <c r="AG78" s="1"/>
  <c r="AD76"/>
  <c r="AF76" s="1"/>
  <c r="AD75"/>
  <c r="AF75" s="1"/>
  <c r="AG75" s="1"/>
  <c r="AD77"/>
  <c r="AF77" s="1"/>
  <c r="AD74"/>
  <c r="AF74" s="1"/>
  <c r="AG74" s="1"/>
  <c r="AD73"/>
  <c r="AF73" s="1"/>
  <c r="AD72"/>
  <c r="AF72" s="1"/>
  <c r="AG72" s="1"/>
  <c r="AE68"/>
  <c r="AD71"/>
  <c r="AF71" s="1"/>
  <c r="AD70"/>
  <c r="AE70"/>
  <c r="AE67"/>
  <c r="AD67"/>
  <c r="AD66"/>
  <c r="AF66" s="1"/>
  <c r="AE69"/>
  <c r="AE65"/>
  <c r="AD65"/>
  <c r="AF65" s="1"/>
  <c r="AG65" s="1"/>
  <c r="AD69"/>
  <c r="AD68"/>
  <c r="AF68" s="1"/>
  <c r="AD64"/>
  <c r="AF64" s="1"/>
  <c r="AG64" s="1"/>
  <c r="AD63"/>
  <c r="AF63" s="1"/>
  <c r="AE62"/>
  <c r="AF62" s="1"/>
  <c r="AD61"/>
  <c r="AF61" s="1"/>
  <c r="AG61" s="1"/>
  <c r="AE60"/>
  <c r="AF60" s="1"/>
  <c r="AG60" s="1"/>
  <c r="AE56"/>
  <c r="AD54"/>
  <c r="AD57"/>
  <c r="AF57" s="1"/>
  <c r="AD55"/>
  <c r="AF55" s="1"/>
  <c r="AD56"/>
  <c r="AF56" s="1"/>
  <c r="AE54"/>
  <c r="AF54" s="1"/>
  <c r="AG54" s="1"/>
  <c r="AE52"/>
  <c r="AD53"/>
  <c r="AF53" s="1"/>
  <c r="AG53" s="1"/>
  <c r="AD52"/>
  <c r="AD51"/>
  <c r="AF51" s="1"/>
  <c r="AD48"/>
  <c r="AF48" s="1"/>
  <c r="AG48" s="1"/>
  <c r="AE50"/>
  <c r="AF50" s="1"/>
  <c r="AD58"/>
  <c r="AF58" s="1"/>
  <c r="AD47"/>
  <c r="AF47" s="1"/>
  <c r="AG47" s="1"/>
  <c r="AE46"/>
  <c r="AF46" s="1"/>
  <c r="AG46" s="1"/>
  <c r="AE49"/>
  <c r="AF49" s="1"/>
  <c r="AD59"/>
  <c r="AF59" s="1"/>
  <c r="AE39"/>
  <c r="AF39" s="1"/>
  <c r="AG39" s="1"/>
  <c r="AD38"/>
  <c r="AF38" s="1"/>
  <c r="AG38" s="1"/>
  <c r="AE45"/>
  <c r="AD41"/>
  <c r="AD45"/>
  <c r="AE41"/>
  <c r="AD37"/>
  <c r="AF37" s="1"/>
  <c r="AG37" s="1"/>
  <c r="AE36"/>
  <c r="AF36" s="1"/>
  <c r="AG36" s="1"/>
  <c r="AA2"/>
  <c r="AE29"/>
  <c r="AF29" s="1"/>
  <c r="AG29" s="1"/>
  <c r="AE35"/>
  <c r="AE40"/>
  <c r="AE34"/>
  <c r="AF34" s="1"/>
  <c r="AG34" s="1"/>
  <c r="AD40"/>
  <c r="AD43"/>
  <c r="AF43" s="1"/>
  <c r="AD44"/>
  <c r="AF44" s="1"/>
  <c r="AD33"/>
  <c r="AF33" s="1"/>
  <c r="AG33" s="1"/>
  <c r="AD32"/>
  <c r="AF32" s="1"/>
  <c r="AG32" s="1"/>
  <c r="AD31"/>
  <c r="AF31" s="1"/>
  <c r="AD2"/>
  <c r="AF2" s="1"/>
  <c r="AG2" s="1"/>
  <c r="AD42"/>
  <c r="AF42" s="1"/>
  <c r="AD30"/>
  <c r="AF30" s="1"/>
  <c r="AG30" s="1"/>
  <c r="AD28"/>
  <c r="AF28" s="1"/>
  <c r="AG28" s="1"/>
  <c r="AD27"/>
  <c r="AF27" s="1"/>
  <c r="AD26"/>
  <c r="AF26" s="1"/>
  <c r="AD25"/>
  <c r="AF25" s="1"/>
  <c r="AG25" s="1"/>
  <c r="AD24"/>
  <c r="AF24" s="1"/>
  <c r="AD23"/>
  <c r="AF23" s="1"/>
  <c r="AD22"/>
  <c r="AF22" s="1"/>
  <c r="AG22" s="1"/>
  <c r="AD21"/>
  <c r="AF21" s="1"/>
  <c r="AG21" s="1"/>
  <c r="AD20"/>
  <c r="AF20" s="1"/>
  <c r="AG20" s="1"/>
  <c r="AD19"/>
  <c r="AF19" s="1"/>
  <c r="AD18"/>
  <c r="AF18" s="1"/>
  <c r="AD17"/>
  <c r="AF17" s="1"/>
  <c r="AG17" s="1"/>
  <c r="AD16"/>
  <c r="AF16" s="1"/>
  <c r="AG16" s="1"/>
  <c r="AD15"/>
  <c r="AF15" s="1"/>
  <c r="AD14"/>
  <c r="AF14" s="1"/>
  <c r="AD13"/>
  <c r="AF13" s="1"/>
  <c r="AD12"/>
  <c r="AF12" s="1"/>
  <c r="AG12" s="1"/>
  <c r="AD11"/>
  <c r="AF11" s="1"/>
  <c r="AG11" s="1"/>
  <c r="AD10"/>
  <c r="AF10" s="1"/>
  <c r="AD9"/>
  <c r="AF9" s="1"/>
  <c r="AG9" s="1"/>
  <c r="AD8"/>
  <c r="AF8" s="1"/>
  <c r="AD7"/>
  <c r="AF7" s="1"/>
  <c r="AG7" s="1"/>
  <c r="AD6"/>
  <c r="AF6" s="1"/>
  <c r="AD5"/>
  <c r="AF5" s="1"/>
  <c r="AD4"/>
  <c r="AF4" s="1"/>
  <c r="AG4" s="1"/>
  <c r="AD3"/>
  <c r="AF3" s="1"/>
  <c r="AG3" s="1"/>
  <c r="AD35"/>
  <c r="AI25"/>
  <c r="AF70" l="1"/>
  <c r="AF45"/>
  <c r="AF69"/>
  <c r="AF52"/>
  <c r="AG52" s="1"/>
  <c r="AF67"/>
  <c r="AF41"/>
  <c r="AF35"/>
  <c r="AG90" s="1"/>
  <c r="AF40"/>
  <c r="AG40" s="1"/>
  <c r="AI26"/>
  <c r="AH26"/>
  <c r="AH25"/>
  <c r="AI17"/>
  <c r="AI16"/>
  <c r="AI15"/>
  <c r="AG95" l="1"/>
  <c r="AG93"/>
  <c r="AG91"/>
  <c r="AG89"/>
  <c r="AG88"/>
  <c r="AG85"/>
  <c r="AG83"/>
  <c r="AG81"/>
  <c r="AG79"/>
  <c r="AG76"/>
  <c r="AG77"/>
  <c r="AG73"/>
  <c r="AG70"/>
  <c r="AG71"/>
  <c r="AG67"/>
  <c r="AG66"/>
  <c r="AG69"/>
  <c r="AG68"/>
  <c r="AG62"/>
  <c r="AG63"/>
  <c r="AG5"/>
  <c r="AG35"/>
  <c r="AG41"/>
  <c r="AG57"/>
  <c r="AG55"/>
  <c r="AG56"/>
  <c r="AG51"/>
  <c r="AG50"/>
  <c r="AG58"/>
  <c r="AG49"/>
  <c r="AG59"/>
  <c r="AG45"/>
  <c r="AG43"/>
  <c r="AG44"/>
  <c r="AG31"/>
  <c r="AG42"/>
  <c r="AG27"/>
  <c r="AG26"/>
  <c r="AG24"/>
  <c r="AG23"/>
  <c r="AG19"/>
  <c r="AG18"/>
  <c r="AG15"/>
  <c r="AG14"/>
  <c r="AG13"/>
  <c r="AG10"/>
  <c r="AG8"/>
  <c r="AG6"/>
  <c r="AH58"/>
  <c r="AI58"/>
  <c r="AH57"/>
  <c r="AI57"/>
  <c r="AH54"/>
  <c r="AI54"/>
  <c r="AH56"/>
  <c r="AI56"/>
  <c r="AH48"/>
  <c r="AI48"/>
  <c r="AH59"/>
  <c r="AI59"/>
  <c r="AH50"/>
  <c r="AI50"/>
  <c r="AH46"/>
  <c r="AI46"/>
  <c r="AH41"/>
  <c r="AI41"/>
  <c r="AH39"/>
  <c r="AI39"/>
  <c r="AH49"/>
  <c r="AI49"/>
  <c r="AH45"/>
  <c r="AI45"/>
  <c r="AH37"/>
  <c r="AI37"/>
  <c r="AH40"/>
  <c r="AI40"/>
  <c r="AI35"/>
  <c r="AH35"/>
  <c r="AH43"/>
  <c r="AI43"/>
  <c r="AH34"/>
  <c r="AI34"/>
  <c r="AH32"/>
  <c r="AI32"/>
  <c r="AH20"/>
  <c r="AH47" l="1"/>
  <c r="AI47"/>
  <c r="AI30"/>
  <c r="AH30"/>
  <c r="AI20"/>
  <c r="AH90"/>
  <c r="AI90"/>
  <c r="AH89"/>
  <c r="AI89"/>
  <c r="AH88"/>
  <c r="AI88"/>
  <c r="AH81"/>
  <c r="AI81"/>
  <c r="AH79"/>
  <c r="AI79"/>
  <c r="AH77"/>
  <c r="AI77"/>
  <c r="AH74"/>
  <c r="AI74"/>
  <c r="AH73"/>
  <c r="AI73"/>
  <c r="AH70"/>
  <c r="AI70"/>
  <c r="AH71"/>
  <c r="AI71"/>
  <c r="AH67"/>
  <c r="AI67"/>
  <c r="AH66"/>
  <c r="AI66"/>
  <c r="AH65"/>
  <c r="AI65"/>
  <c r="AH69"/>
  <c r="AI69"/>
  <c r="AH68"/>
  <c r="AI68"/>
  <c r="AH64"/>
  <c r="AI64"/>
  <c r="AH63"/>
  <c r="AI63"/>
  <c r="AH61"/>
  <c r="AI61"/>
</calcChain>
</file>

<file path=xl/comments1.xml><?xml version="1.0" encoding="utf-8"?>
<comments xmlns="http://schemas.openxmlformats.org/spreadsheetml/2006/main">
  <authors>
    <author>Engelbert</author>
  </authors>
  <commentList>
    <comment ref="D1" authorId="0">
      <text>
        <r>
          <rPr>
            <b/>
            <sz val="8"/>
            <color indexed="81"/>
            <rFont val="Tahoma"/>
            <family val="2"/>
          </rPr>
          <t>CC=COMPRADO/COMPRA
CV=COMPRADO/VENDA
VC=VENDIDO/COMPRA
VV=VENDIDO/VENDA</t>
        </r>
      </text>
    </comment>
  </commentList>
</comments>
</file>

<file path=xl/comments2.xml><?xml version="1.0" encoding="utf-8"?>
<comments xmlns="http://schemas.openxmlformats.org/spreadsheetml/2006/main">
  <authors>
    <author>Engelbert</author>
  </authors>
  <commentList>
    <comment ref="D1" authorId="0">
      <text>
        <r>
          <rPr>
            <b/>
            <sz val="8"/>
            <color indexed="81"/>
            <rFont val="Tahoma"/>
            <family val="2"/>
          </rPr>
          <t>CC=COMPRADO/COMPRA
CV=COMPRADO/VENDA
VC=VENDIDO/COMPRA
VV=VENDIDO/VENDA</t>
        </r>
      </text>
    </comment>
  </commentList>
</comments>
</file>

<file path=xl/sharedStrings.xml><?xml version="1.0" encoding="utf-8"?>
<sst xmlns="http://schemas.openxmlformats.org/spreadsheetml/2006/main" count="1018" uniqueCount="345">
  <si>
    <t>ATIVO</t>
  </si>
  <si>
    <t>QTDE</t>
  </si>
  <si>
    <t>PREÇO</t>
  </si>
  <si>
    <t>[D/N]</t>
  </si>
  <si>
    <t>ISS</t>
  </si>
  <si>
    <t>LÍQUIDO</t>
  </si>
  <si>
    <t>N</t>
  </si>
  <si>
    <t>NORMAL</t>
  </si>
  <si>
    <t>DAYTRADE</t>
  </si>
  <si>
    <t>CORRETAGEM</t>
  </si>
  <si>
    <t>OUTROS</t>
  </si>
  <si>
    <t>IRRF N</t>
  </si>
  <si>
    <t>EMOL.</t>
  </si>
  <si>
    <t>LIQUID.</t>
  </si>
  <si>
    <t>D</t>
  </si>
  <si>
    <t>Total</t>
  </si>
  <si>
    <t>DATA</t>
  </si>
  <si>
    <t>ID</t>
  </si>
  <si>
    <t>IRRF</t>
  </si>
  <si>
    <t>MED CP</t>
  </si>
  <si>
    <t>MED VD</t>
  </si>
  <si>
    <t>PAR</t>
  </si>
  <si>
    <t>SALDO</t>
  </si>
  <si>
    <t>TOTAL APLIC</t>
  </si>
  <si>
    <t>CC</t>
  </si>
  <si>
    <t>CV</t>
  </si>
  <si>
    <t>OPÇÕES</t>
  </si>
  <si>
    <t>REGISTRO</t>
  </si>
  <si>
    <t>PETRC24</t>
  </si>
  <si>
    <t>VALEC40</t>
  </si>
  <si>
    <t>OGXPC17</t>
  </si>
  <si>
    <t>PETRD24</t>
  </si>
  <si>
    <t>LÍQUIDO BASE</t>
  </si>
  <si>
    <t>VALOR DAS OPERAÇÕES</t>
  </si>
  <si>
    <t>VALOR LÍQUIDO DAS OPERAÇÕES</t>
  </si>
  <si>
    <t>TAXA DE LIQUIDAÇÃO</t>
  </si>
  <si>
    <t>EMOLUMENTOS</t>
  </si>
  <si>
    <t>TAXA DE REGISTRO</t>
  </si>
  <si>
    <t>OUTRAS BOVESPA</t>
  </si>
  <si>
    <t>DATA DE LIQUIDAÇÃO</t>
  </si>
  <si>
    <t>DATA BASE</t>
  </si>
  <si>
    <t>MEDIO P/ OP</t>
  </si>
  <si>
    <t>PETRC25</t>
  </si>
  <si>
    <t>VALEC43</t>
  </si>
  <si>
    <t>IRRF FONTE</t>
  </si>
  <si>
    <t>VALED43</t>
  </si>
  <si>
    <t>T</t>
  </si>
  <si>
    <t>LUCRO P/ OP</t>
  </si>
  <si>
    <t>IR DEVIDO</t>
  </si>
  <si>
    <t>U</t>
  </si>
  <si>
    <t>OGXPD17</t>
  </si>
  <si>
    <t>BVMFD12</t>
  </si>
  <si>
    <t>OGXPD16</t>
  </si>
  <si>
    <t>LUCRO [N]</t>
  </si>
  <si>
    <t>VALED42</t>
  </si>
  <si>
    <t>PAPEL</t>
  </si>
  <si>
    <t>EXERCÍCIO</t>
  </si>
  <si>
    <t>PREÇO OPÇÃO</t>
  </si>
  <si>
    <t>PREÇO AÇÃO</t>
  </si>
  <si>
    <t>PETRE22</t>
  </si>
  <si>
    <t>TARGET 100%</t>
  </si>
  <si>
    <t>ALTA 100%</t>
  </si>
  <si>
    <t>APLICAÇÃO</t>
  </si>
  <si>
    <t>QTDE TMP</t>
  </si>
  <si>
    <t>VALEE43</t>
  </si>
  <si>
    <t>VALEE41</t>
  </si>
  <si>
    <t>VV</t>
  </si>
  <si>
    <t>VC</t>
  </si>
  <si>
    <t>LUCRO TMP</t>
  </si>
  <si>
    <t>PETR4</t>
  </si>
  <si>
    <t>EXERC. COMPRA</t>
  </si>
  <si>
    <t>PREÇO COMPRA</t>
  </si>
  <si>
    <t>EXERC. VENDA</t>
  </si>
  <si>
    <t>PREÇO VENDA</t>
  </si>
  <si>
    <t>LUCRO P/ OPÇÃO</t>
  </si>
  <si>
    <t>PERDA P/ OPÇÃO</t>
  </si>
  <si>
    <t>PETRE23</t>
  </si>
  <si>
    <t>% QUEDA</t>
  </si>
  <si>
    <t>RISCO : 1</t>
  </si>
  <si>
    <t>PETRE21</t>
  </si>
  <si>
    <t>PETRE19</t>
  </si>
  <si>
    <t>LUCRO*</t>
  </si>
  <si>
    <t>PERDA*</t>
  </si>
  <si>
    <t>VALE5</t>
  </si>
  <si>
    <t>LUCRO* 100%</t>
  </si>
  <si>
    <t>VALEE39</t>
  </si>
  <si>
    <t>% VAR</t>
  </si>
  <si>
    <t>LUCRO UNI.</t>
  </si>
  <si>
    <t>PERDA 1</t>
  </si>
  <si>
    <t>PERDA 2</t>
  </si>
  <si>
    <t>VALEE38</t>
  </si>
  <si>
    <t>BASE</t>
  </si>
  <si>
    <t>PR. AÇÃO</t>
  </si>
  <si>
    <t>EX. CP 1</t>
  </si>
  <si>
    <t>PR CP 1</t>
  </si>
  <si>
    <t>EX. VD</t>
  </si>
  <si>
    <t>PR VD</t>
  </si>
  <si>
    <t>EX. CP 2</t>
  </si>
  <si>
    <t>PR CP 2</t>
  </si>
  <si>
    <t>QTDE VD</t>
  </si>
  <si>
    <t>PERDA</t>
  </si>
  <si>
    <t>VALOR OP</t>
  </si>
  <si>
    <t>OGXPF12</t>
  </si>
  <si>
    <t>OGXPF11</t>
  </si>
  <si>
    <t>RISCO</t>
  </si>
  <si>
    <t>PR COMPRA</t>
  </si>
  <si>
    <t>EX. COMPRA</t>
  </si>
  <si>
    <t>EX. VENDA</t>
  </si>
  <si>
    <t>PR VENDA</t>
  </si>
  <si>
    <t>LUCRO UNI</t>
  </si>
  <si>
    <t>PETRF20</t>
  </si>
  <si>
    <t>PETRF21</t>
  </si>
  <si>
    <t>VOLUME</t>
  </si>
  <si>
    <t>VALEF38</t>
  </si>
  <si>
    <t>PETRG17</t>
  </si>
  <si>
    <t>PETRG18</t>
  </si>
  <si>
    <t>DEDUÇÃO [N]</t>
  </si>
  <si>
    <t>LUCRO [D]</t>
  </si>
  <si>
    <t>DEDUÇÃO [D]</t>
  </si>
  <si>
    <t>ACC [N]</t>
  </si>
  <si>
    <t>IRRF [N]</t>
  </si>
  <si>
    <t>IRRF [D]</t>
  </si>
  <si>
    <t>IR DEVIDO [N]</t>
  </si>
  <si>
    <t>IR DEVIDO [D]</t>
  </si>
  <si>
    <t>ACC [D]</t>
  </si>
  <si>
    <t>LUCRO TOTAL</t>
  </si>
  <si>
    <t>IRRF DT</t>
  </si>
  <si>
    <t>CORR</t>
  </si>
  <si>
    <t>AJUSTE</t>
  </si>
  <si>
    <t>PARCIAL</t>
  </si>
  <si>
    <t>VALEG41</t>
  </si>
  <si>
    <t>VALEG40</t>
  </si>
  <si>
    <t>GORDURA</t>
  </si>
  <si>
    <t>PETRG20</t>
  </si>
  <si>
    <t>VALEH37</t>
  </si>
  <si>
    <t>VALEH36</t>
  </si>
  <si>
    <t>PETRH20</t>
  </si>
  <si>
    <t>PETRH20D</t>
  </si>
  <si>
    <t>PETRH21</t>
  </si>
  <si>
    <t>PETRH22</t>
  </si>
  <si>
    <t>PETR</t>
  </si>
  <si>
    <t>PETRH</t>
  </si>
  <si>
    <t>VALEH39</t>
  </si>
  <si>
    <t>PETRI22</t>
  </si>
  <si>
    <t>FINANCEIRO</t>
  </si>
  <si>
    <t>FIXO</t>
  </si>
  <si>
    <t>%</t>
  </si>
  <si>
    <t>TABELA BOVESPA</t>
  </si>
  <si>
    <t>CORR BOV</t>
  </si>
  <si>
    <t>LUCRO</t>
  </si>
  <si>
    <t>PERDA2</t>
  </si>
  <si>
    <t>PETRI19</t>
  </si>
  <si>
    <t>PETRI20</t>
  </si>
  <si>
    <t>PETRI19A</t>
  </si>
  <si>
    <t>PETRI19B</t>
  </si>
  <si>
    <t>PETRI21</t>
  </si>
  <si>
    <t>PETRI21D</t>
  </si>
  <si>
    <t>VALEI36</t>
  </si>
  <si>
    <t>PETRI22C</t>
  </si>
  <si>
    <t>PETRJ22</t>
  </si>
  <si>
    <t>PETRI23</t>
  </si>
  <si>
    <t>PETRI23A</t>
  </si>
  <si>
    <t>PETRJ22A</t>
  </si>
  <si>
    <t>VALEJ38</t>
  </si>
  <si>
    <t>PETRJ22B</t>
  </si>
  <si>
    <t>PETRJ22C</t>
  </si>
  <si>
    <t>PETRJ22D</t>
  </si>
  <si>
    <t>PETRJ22E</t>
  </si>
  <si>
    <t>PETRJ22F</t>
  </si>
  <si>
    <t>PETRJ22G</t>
  </si>
  <si>
    <t>PETRJ22H</t>
  </si>
  <si>
    <t>PETRK22</t>
  </si>
  <si>
    <t>PETRK21</t>
  </si>
  <si>
    <t>VALEK34</t>
  </si>
  <si>
    <t>VALEK35</t>
  </si>
  <si>
    <t>PETRK24</t>
  </si>
  <si>
    <t>PETRK26</t>
  </si>
  <si>
    <t>PETRC14</t>
  </si>
  <si>
    <t>Colunas1</t>
  </si>
  <si>
    <t>VALE</t>
  </si>
  <si>
    <t>Volume</t>
  </si>
  <si>
    <t>PR Venda</t>
  </si>
  <si>
    <t>PR Compra</t>
  </si>
  <si>
    <t>VALED</t>
  </si>
  <si>
    <t>Média</t>
  </si>
  <si>
    <t>DesvPad</t>
  </si>
  <si>
    <t>%DesvPad</t>
  </si>
  <si>
    <t>Variância</t>
  </si>
  <si>
    <t>%Variância</t>
  </si>
  <si>
    <t>petr120m</t>
  </si>
  <si>
    <t>vale120m</t>
  </si>
  <si>
    <t>petr15m</t>
  </si>
  <si>
    <t>vale15m</t>
  </si>
  <si>
    <t>sell</t>
  </si>
  <si>
    <t>eurgbp</t>
  </si>
  <si>
    <t>[1][sl]</t>
  </si>
  <si>
    <t>buy</t>
  </si>
  <si>
    <t>eurusd</t>
  </si>
  <si>
    <t>[0][sl]</t>
  </si>
  <si>
    <t>gbpusd</t>
  </si>
  <si>
    <t>usdchf</t>
  </si>
  <si>
    <t>audusd</t>
  </si>
  <si>
    <t>usdcad</t>
  </si>
  <si>
    <t>[2][sl]</t>
  </si>
  <si>
    <t>Ticket</t>
  </si>
  <si>
    <t>Type</t>
  </si>
  <si>
    <t>Size</t>
  </si>
  <si>
    <t>Item</t>
  </si>
  <si>
    <t>Price</t>
  </si>
  <si>
    <t>Commission</t>
  </si>
  <si>
    <t>Taxes</t>
  </si>
  <si>
    <t>Swap</t>
  </si>
  <si>
    <t>Profit</t>
  </si>
  <si>
    <t>Total geral</t>
  </si>
  <si>
    <t>Valores</t>
  </si>
  <si>
    <t>OpenTime</t>
  </si>
  <si>
    <t>S/L</t>
  </si>
  <si>
    <t>T/P</t>
  </si>
  <si>
    <t>CloseTime</t>
  </si>
  <si>
    <t>2014,04,1700:19:57</t>
  </si>
  <si>
    <t>2014,04,1710:20:10</t>
  </si>
  <si>
    <t>2014,04,1706:15:29</t>
  </si>
  <si>
    <t>2014,04,1713:58:47</t>
  </si>
  <si>
    <t>2014,04,1708:07:18</t>
  </si>
  <si>
    <t>2014,04,1710:13:03</t>
  </si>
  <si>
    <t>2014,04,1710:19:49</t>
  </si>
  <si>
    <t>2014,04,1713:55:52</t>
  </si>
  <si>
    <t>2014,04,1710:22:38</t>
  </si>
  <si>
    <t>2014,04,1713:56:07</t>
  </si>
  <si>
    <t>2014,04,1710:42:32</t>
  </si>
  <si>
    <t>2014,04,2022:37:18</t>
  </si>
  <si>
    <t>2014,04,1711:17:31</t>
  </si>
  <si>
    <t>2014,04,1712:30:01</t>
  </si>
  <si>
    <t>2014,04,1711:59:26</t>
  </si>
  <si>
    <t>2014,04,1713:39:43</t>
  </si>
  <si>
    <t>2014,04,1716:14:23</t>
  </si>
  <si>
    <t>2014,04,1812:54:12</t>
  </si>
  <si>
    <t>2014,04,1716:18:21</t>
  </si>
  <si>
    <t>2014,04,2105:02:15</t>
  </si>
  <si>
    <t>2014,04,1808:13:57</t>
  </si>
  <si>
    <t>2014,04,1820:13:01</t>
  </si>
  <si>
    <t>2014,04,1817:46:22</t>
  </si>
  <si>
    <t>2014,04,2109:48:52</t>
  </si>
  <si>
    <t>2014,04,1818:23:12</t>
  </si>
  <si>
    <t>2014,04,2212:30:02</t>
  </si>
  <si>
    <t>2014,04,2101:12:21</t>
  </si>
  <si>
    <t>2014,04,2114:24:31</t>
  </si>
  <si>
    <t>2014,04,2104:26:27</t>
  </si>
  <si>
    <t>2014,04,2113:41:38</t>
  </si>
  <si>
    <t>2014,04,2106:27:53</t>
  </si>
  <si>
    <t>2014,04,2123:15:01</t>
  </si>
  <si>
    <t>2014,04,2106:45:48</t>
  </si>
  <si>
    <t>2014,04,2111:35:07</t>
  </si>
  <si>
    <t>2014,04,2108:59:20</t>
  </si>
  <si>
    <t>2014,04,2111:00:11</t>
  </si>
  <si>
    <t>2014,04,2111:39:46</t>
  </si>
  <si>
    <t>2014,04,2112:17:03</t>
  </si>
  <si>
    <t>2014,04,2114:59:13</t>
  </si>
  <si>
    <t>2014,04,2213:04:23</t>
  </si>
  <si>
    <t>2014,04,2114:59:57</t>
  </si>
  <si>
    <t>2014,04,2206:53:37</t>
  </si>
  <si>
    <t>2014,04,2115:00:24</t>
  </si>
  <si>
    <t>2014,04,2210:28:43</t>
  </si>
  <si>
    <t>2014,04,2200:24:41</t>
  </si>
  <si>
    <t>2014,04,2212:29:49</t>
  </si>
  <si>
    <t>2014,04,2201:44:31</t>
  </si>
  <si>
    <t>2014,04,2301:30:02</t>
  </si>
  <si>
    <t>2014,04,2206:00:02</t>
  </si>
  <si>
    <t>2014,04,2305:01:45</t>
  </si>
  <si>
    <t>2014,04,2206:02:29</t>
  </si>
  <si>
    <t>2014,04,2301:30:03</t>
  </si>
  <si>
    <t>2014,04,2206:13:36</t>
  </si>
  <si>
    <t>2014,04,2210:30:27</t>
  </si>
  <si>
    <t>2014,04,2206:53:38</t>
  </si>
  <si>
    <t>2014,04,2214:33:00</t>
  </si>
  <si>
    <t>2014,04,2208:19:03</t>
  </si>
  <si>
    <t>2014,04,2214:00:07</t>
  </si>
  <si>
    <t>2014,04,2214:36:05</t>
  </si>
  <si>
    <t>2014,04,2311:42:37</t>
  </si>
  <si>
    <t>2014,04,2301:30:08</t>
  </si>
  <si>
    <t>2014,04,2311:39:22</t>
  </si>
  <si>
    <t>2014,04,2306:05:36</t>
  </si>
  <si>
    <t>2014,04,2307:07:54</t>
  </si>
  <si>
    <t>Trades</t>
  </si>
  <si>
    <t>Total Profit</t>
  </si>
  <si>
    <t>H1</t>
  </si>
  <si>
    <t>Price2</t>
  </si>
  <si>
    <t>Moeda</t>
  </si>
  <si>
    <t>2014,04,2105:27:38</t>
  </si>
  <si>
    <t>2014,04,2314:45:21</t>
  </si>
  <si>
    <t>2014,04,2303:27:12</t>
  </si>
  <si>
    <t>2014,04,2320:31:07</t>
  </si>
  <si>
    <t>2014,04,2313:36:58</t>
  </si>
  <si>
    <t>2014,04,2316:09:15</t>
  </si>
  <si>
    <t>2014,04,2313:36:59</t>
  </si>
  <si>
    <t>DesvPad de Profit</t>
  </si>
  <si>
    <t>Var de Profit</t>
  </si>
  <si>
    <t>2014,04,2308:02:18</t>
  </si>
  <si>
    <t>2014,04,2406:35:36</t>
  </si>
  <si>
    <t>2014,04,2308:11:32</t>
  </si>
  <si>
    <t>2014,04,2406:10:07</t>
  </si>
  <si>
    <t>2014,04,2310:14:49</t>
  </si>
  <si>
    <t>2014,04,2406:36:41</t>
  </si>
  <si>
    <t>2014,04,2400:01:44</t>
  </si>
  <si>
    <t>2014,04,2402:58:17</t>
  </si>
  <si>
    <t>2014,04,2402:21:13</t>
  </si>
  <si>
    <t>2014,04,2406:02:39</t>
  </si>
  <si>
    <t>2014,04,2406:43:21</t>
  </si>
  <si>
    <t>2014,04,2410:22:41</t>
  </si>
  <si>
    <t>2014,04,2406:54:07</t>
  </si>
  <si>
    <t>2014,04,2409:00:25</t>
  </si>
  <si>
    <t>2014,04,2408:00:07</t>
  </si>
  <si>
    <t>2014,04,2409:00:07</t>
  </si>
  <si>
    <t>2014,04,2301:50:32</t>
  </si>
  <si>
    <t>2014,04,2503:46:42</t>
  </si>
  <si>
    <t>2014,04,2410:23:13</t>
  </si>
  <si>
    <t>2014,04,2414:25:50</t>
  </si>
  <si>
    <t>2014,04,2308:11:36</t>
  </si>
  <si>
    <t>2014,04,2412:36:53</t>
  </si>
  <si>
    <t>2014,04,2508:30:05</t>
  </si>
  <si>
    <t>2014,04,2508:32:31</t>
  </si>
  <si>
    <t>2014,04,2412:59:06</t>
  </si>
  <si>
    <t>2014,04,2421:00:00</t>
  </si>
  <si>
    <t>2014,04,2408:00:09</t>
  </si>
  <si>
    <t>2014,04,2412:59:04</t>
  </si>
  <si>
    <t>petr1d</t>
  </si>
  <si>
    <t>vale1d</t>
  </si>
  <si>
    <t>2014,04,2511:12:22</t>
  </si>
  <si>
    <t>2014,04,2513:13:40</t>
  </si>
  <si>
    <t>2014,04,2508:30:16</t>
  </si>
  <si>
    <t>2014,04,2514:56:13</t>
  </si>
  <si>
    <t>2014,04,2511:18:07</t>
  </si>
  <si>
    <t>2014,04,2515:00:05</t>
  </si>
  <si>
    <t>2014,04,2508:30:40</t>
  </si>
  <si>
    <t>2014,04,2515:29:55</t>
  </si>
  <si>
    <t>2014,04,2508:30:04</t>
  </si>
  <si>
    <t>2014,04,2516:23:07</t>
  </si>
  <si>
    <t>2014,04,2509:20:12</t>
  </si>
  <si>
    <t>2014,04,2800:27:20</t>
  </si>
  <si>
    <t>2014,04,2800:19:49</t>
  </si>
  <si>
    <t>2014,04,2806:14:22</t>
  </si>
  <si>
    <t>2014,04,2516:04:08</t>
  </si>
  <si>
    <t>2014,04,2806:26:34</t>
  </si>
  <si>
    <t>2014,04,2806:30:54</t>
  </si>
  <si>
    <t>2014,04,2809:01:01</t>
  </si>
</sst>
</file>

<file path=xl/styles.xml><?xml version="1.0" encoding="utf-8"?>
<styleSheet xmlns="http://schemas.openxmlformats.org/spreadsheetml/2006/main">
  <numFmts count="11">
    <numFmt numFmtId="44" formatCode="_(&quot;R$ &quot;* #,##0.00_);_(&quot;R$ &quot;* \(#,##0.00\);_(&quot;R$ &quot;* &quot;-&quot;??_);_(@_)"/>
    <numFmt numFmtId="43" formatCode="_(* #,##0.00_);_(* \(#,##0.00\);_(* &quot;-&quot;??_);_(@_)"/>
    <numFmt numFmtId="164" formatCode="_-&quot;R$&quot;\ * #,##0.00_-;\-&quot;R$&quot;\ * #,##0.00_-;_-&quot;R$&quot;\ * &quot;-&quot;??_-;_-@_-"/>
    <numFmt numFmtId="165" formatCode="[$R$-416]\ #,##0.00;[Red]\-[$R$-416]\ #,##0.00"/>
    <numFmt numFmtId="166" formatCode="0.000%"/>
    <numFmt numFmtId="167" formatCode="0.0000%"/>
    <numFmt numFmtId="168" formatCode="d/m/yy;@"/>
    <numFmt numFmtId="169" formatCode="0.000"/>
    <numFmt numFmtId="170" formatCode="0.0"/>
    <numFmt numFmtId="171" formatCode="dd/mm/yyyy"/>
    <numFmt numFmtId="172" formatCode="_(* #,##0.0000_);_(* \(#,##0.0000\);_(* &quot;-&quot;??_);_(@_)"/>
  </numFmts>
  <fonts count="18"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sz val="10"/>
      <name val="Arial"/>
      <family val="2"/>
    </font>
    <font>
      <b/>
      <sz val="8"/>
      <color indexed="81"/>
      <name val="Tahoma"/>
      <family val="2"/>
    </font>
    <font>
      <sz val="8"/>
      <name val="Calibri"/>
      <family val="2"/>
      <scheme val="minor"/>
    </font>
    <font>
      <sz val="8"/>
      <name val="Calibri"/>
      <family val="2"/>
      <scheme val="minor"/>
    </font>
    <font>
      <sz val="8"/>
      <color rgb="FFFF0000"/>
      <name val="Calibri"/>
      <family val="2"/>
      <scheme val="minor"/>
    </font>
    <font>
      <sz val="8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E0E0E0"/>
        <bgColor indexed="64"/>
      </patternFill>
    </fill>
    <fill>
      <patternFill patternType="solid">
        <fgColor rgb="FFC0C0C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hair">
        <color indexed="8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6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</cellStyleXfs>
  <cellXfs count="189">
    <xf numFmtId="0" fontId="0" fillId="0" borderId="0" xfId="0"/>
    <xf numFmtId="0" fontId="1" fillId="0" borderId="0" xfId="0" applyFont="1"/>
    <xf numFmtId="165" fontId="1" fillId="0" borderId="0" xfId="0" applyNumberFormat="1" applyFont="1"/>
    <xf numFmtId="0" fontId="2" fillId="0" borderId="1" xfId="0" applyFont="1" applyBorder="1"/>
    <xf numFmtId="166" fontId="1" fillId="0" borderId="0" xfId="0" applyNumberFormat="1" applyFont="1"/>
    <xf numFmtId="167" fontId="1" fillId="0" borderId="0" xfId="0" applyNumberFormat="1" applyFont="1"/>
    <xf numFmtId="10" fontId="1" fillId="0" borderId="0" xfId="0" applyNumberFormat="1" applyFont="1"/>
    <xf numFmtId="0" fontId="3" fillId="0" borderId="0" xfId="0" applyFont="1"/>
    <xf numFmtId="2" fontId="3" fillId="0" borderId="0" xfId="0" applyNumberFormat="1" applyFont="1"/>
    <xf numFmtId="165" fontId="3" fillId="0" borderId="0" xfId="0" applyNumberFormat="1" applyFont="1"/>
    <xf numFmtId="0" fontId="4" fillId="0" borderId="0" xfId="0" applyFont="1" applyAlignment="1">
      <alignment horizontal="left"/>
    </xf>
    <xf numFmtId="2" fontId="4" fillId="0" borderId="0" xfId="0" applyNumberFormat="1" applyFont="1" applyAlignment="1">
      <alignment horizontal="left"/>
    </xf>
    <xf numFmtId="165" fontId="4" fillId="0" borderId="0" xfId="0" applyNumberFormat="1" applyFont="1" applyAlignment="1">
      <alignment horizontal="left"/>
    </xf>
    <xf numFmtId="0" fontId="3" fillId="0" borderId="0" xfId="0" applyNumberFormat="1" applyFont="1" applyAlignment="1"/>
    <xf numFmtId="168" fontId="3" fillId="0" borderId="0" xfId="0" applyNumberFormat="1" applyFont="1" applyAlignment="1"/>
    <xf numFmtId="164" fontId="3" fillId="0" borderId="0" xfId="0" applyNumberFormat="1" applyFont="1" applyAlignment="1"/>
    <xf numFmtId="169" fontId="3" fillId="0" borderId="0" xfId="0" applyNumberFormat="1" applyFont="1" applyAlignment="1"/>
    <xf numFmtId="164" fontId="1" fillId="0" borderId="0" xfId="1" applyFont="1"/>
    <xf numFmtId="0" fontId="2" fillId="0" borderId="0" xfId="0" applyFont="1"/>
    <xf numFmtId="164" fontId="3" fillId="0" borderId="0" xfId="1" applyFont="1" applyAlignment="1"/>
    <xf numFmtId="164" fontId="3" fillId="0" borderId="0" xfId="1" applyNumberFormat="1" applyFont="1" applyAlignment="1"/>
    <xf numFmtId="14" fontId="3" fillId="0" borderId="0" xfId="0" applyNumberFormat="1" applyFont="1" applyAlignment="1"/>
    <xf numFmtId="14" fontId="3" fillId="0" borderId="0" xfId="0" applyNumberFormat="1" applyFont="1" applyAlignment="1"/>
    <xf numFmtId="164" fontId="3" fillId="0" borderId="0" xfId="0" applyNumberFormat="1" applyFont="1"/>
    <xf numFmtId="0" fontId="4" fillId="0" borderId="0" xfId="0" applyFont="1"/>
    <xf numFmtId="164" fontId="3" fillId="0" borderId="0" xfId="1" applyFont="1"/>
    <xf numFmtId="164" fontId="4" fillId="0" borderId="0" xfId="1" applyFont="1"/>
    <xf numFmtId="10" fontId="3" fillId="0" borderId="0" xfId="2" applyNumberFormat="1" applyFont="1"/>
    <xf numFmtId="0" fontId="3" fillId="0" borderId="0" xfId="1" applyNumberFormat="1" applyFont="1"/>
    <xf numFmtId="164" fontId="7" fillId="0" borderId="0" xfId="0" applyNumberFormat="1" applyFont="1" applyAlignment="1"/>
    <xf numFmtId="0" fontId="7" fillId="0" borderId="0" xfId="0" applyNumberFormat="1" applyFont="1" applyAlignment="1"/>
    <xf numFmtId="168" fontId="7" fillId="0" borderId="0" xfId="0" applyNumberFormat="1" applyFont="1" applyAlignment="1"/>
    <xf numFmtId="14" fontId="7" fillId="0" borderId="0" xfId="0" applyNumberFormat="1" applyFont="1" applyAlignment="1"/>
    <xf numFmtId="164" fontId="7" fillId="0" borderId="0" xfId="1" applyNumberFormat="1" applyFont="1" applyAlignment="1"/>
    <xf numFmtId="169" fontId="7" fillId="0" borderId="0" xfId="0" applyNumberFormat="1" applyFont="1" applyAlignment="1"/>
    <xf numFmtId="164" fontId="7" fillId="0" borderId="0" xfId="1" applyFont="1" applyAlignment="1"/>
    <xf numFmtId="164" fontId="4" fillId="0" borderId="0" xfId="1" applyFont="1" applyAlignment="1">
      <alignment horizontal="left"/>
    </xf>
    <xf numFmtId="169" fontId="3" fillId="0" borderId="0" xfId="1" applyNumberFormat="1" applyFont="1" applyAlignment="1"/>
    <xf numFmtId="170" fontId="3" fillId="0" borderId="0" xfId="2" applyNumberFormat="1" applyFont="1"/>
    <xf numFmtId="164" fontId="3" fillId="0" borderId="0" xfId="1" applyNumberFormat="1" applyFont="1"/>
    <xf numFmtId="0" fontId="8" fillId="0" borderId="0" xfId="0" applyFont="1"/>
    <xf numFmtId="0" fontId="8" fillId="0" borderId="0" xfId="0" applyNumberFormat="1" applyFont="1"/>
    <xf numFmtId="164" fontId="8" fillId="0" borderId="0" xfId="0" applyNumberFormat="1" applyFont="1" applyAlignment="1"/>
    <xf numFmtId="0" fontId="8" fillId="0" borderId="0" xfId="0" applyNumberFormat="1" applyFont="1" applyAlignment="1"/>
    <xf numFmtId="168" fontId="8" fillId="0" borderId="0" xfId="0" applyNumberFormat="1" applyFont="1" applyAlignment="1"/>
    <xf numFmtId="14" fontId="8" fillId="0" borderId="0" xfId="0" applyNumberFormat="1" applyFont="1" applyAlignment="1"/>
    <xf numFmtId="164" fontId="8" fillId="0" borderId="0" xfId="1" applyNumberFormat="1" applyFont="1" applyAlignment="1"/>
    <xf numFmtId="169" fontId="8" fillId="0" borderId="0" xfId="0" applyNumberFormat="1" applyFont="1" applyAlignment="1"/>
    <xf numFmtId="169" fontId="8" fillId="0" borderId="0" xfId="1" applyNumberFormat="1" applyFont="1" applyAlignment="1"/>
    <xf numFmtId="164" fontId="8" fillId="0" borderId="0" xfId="1" applyFont="1" applyAlignment="1"/>
    <xf numFmtId="0" fontId="8" fillId="0" borderId="0" xfId="0" applyFont="1" applyBorder="1"/>
    <xf numFmtId="164" fontId="8" fillId="0" borderId="0" xfId="1" applyFont="1" applyBorder="1"/>
    <xf numFmtId="164" fontId="8" fillId="0" borderId="0" xfId="1" applyNumberFormat="1" applyFont="1" applyBorder="1"/>
    <xf numFmtId="10" fontId="8" fillId="0" borderId="0" xfId="2" applyNumberFormat="1" applyFont="1" applyBorder="1"/>
    <xf numFmtId="170" fontId="8" fillId="0" borderId="0" xfId="2" applyNumberFormat="1" applyFont="1" applyBorder="1"/>
    <xf numFmtId="0" fontId="9" fillId="0" borderId="0" xfId="0" applyNumberFormat="1" applyFont="1" applyAlignment="1"/>
    <xf numFmtId="14" fontId="3" fillId="0" borderId="0" xfId="0" applyNumberFormat="1" applyFont="1" applyAlignment="1"/>
    <xf numFmtId="1" fontId="4" fillId="0" borderId="0" xfId="1" applyNumberFormat="1" applyFont="1"/>
    <xf numFmtId="1" fontId="3" fillId="0" borderId="0" xfId="1" applyNumberFormat="1" applyFont="1"/>
    <xf numFmtId="1" fontId="8" fillId="0" borderId="0" xfId="0" applyNumberFormat="1" applyFont="1"/>
    <xf numFmtId="1" fontId="3" fillId="0" borderId="0" xfId="0" applyNumberFormat="1" applyFont="1"/>
    <xf numFmtId="164" fontId="8" fillId="0" borderId="0" xfId="0" applyNumberFormat="1" applyFont="1"/>
    <xf numFmtId="1" fontId="8" fillId="0" borderId="0" xfId="1" applyNumberFormat="1" applyFont="1" applyBorder="1"/>
    <xf numFmtId="164" fontId="3" fillId="0" borderId="0" xfId="0" applyNumberFormat="1" applyFont="1" applyBorder="1"/>
    <xf numFmtId="14" fontId="8" fillId="0" borderId="0" xfId="0" applyNumberFormat="1" applyFont="1" applyAlignment="1"/>
    <xf numFmtId="0" fontId="10" fillId="0" borderId="0" xfId="0" applyNumberFormat="1" applyFont="1" applyAlignment="1"/>
    <xf numFmtId="168" fontId="10" fillId="0" borderId="0" xfId="0" applyNumberFormat="1" applyFont="1" applyAlignment="1"/>
    <xf numFmtId="164" fontId="10" fillId="0" borderId="0" xfId="0" applyNumberFormat="1" applyFont="1" applyAlignment="1"/>
    <xf numFmtId="14" fontId="10" fillId="0" borderId="0" xfId="0" applyNumberFormat="1" applyFont="1" applyAlignment="1"/>
    <xf numFmtId="164" fontId="10" fillId="0" borderId="0" xfId="1" applyNumberFormat="1" applyFont="1" applyAlignment="1"/>
    <xf numFmtId="169" fontId="10" fillId="0" borderId="0" xfId="0" applyNumberFormat="1" applyFont="1" applyAlignment="1"/>
    <xf numFmtId="169" fontId="10" fillId="0" borderId="0" xfId="1" applyNumberFormat="1" applyFont="1" applyAlignment="1"/>
    <xf numFmtId="17" fontId="3" fillId="0" borderId="0" xfId="0" applyNumberFormat="1" applyFont="1"/>
    <xf numFmtId="164" fontId="3" fillId="0" borderId="0" xfId="1" applyFont="1" applyBorder="1"/>
    <xf numFmtId="0" fontId="3" fillId="0" borderId="0" xfId="0" applyNumberFormat="1" applyFont="1"/>
    <xf numFmtId="14" fontId="3" fillId="0" borderId="0" xfId="0" applyNumberFormat="1" applyFont="1" applyAlignment="1"/>
    <xf numFmtId="1" fontId="8" fillId="0" borderId="0" xfId="0" applyNumberFormat="1" applyFont="1" applyAlignment="1"/>
    <xf numFmtId="1" fontId="4" fillId="0" borderId="0" xfId="0" applyNumberFormat="1" applyFont="1" applyAlignment="1">
      <alignment horizontal="left"/>
    </xf>
    <xf numFmtId="1" fontId="3" fillId="0" borderId="0" xfId="0" applyNumberFormat="1" applyFont="1" applyAlignment="1"/>
    <xf numFmtId="1" fontId="7" fillId="0" borderId="0" xfId="0" applyNumberFormat="1" applyFont="1" applyAlignment="1"/>
    <xf numFmtId="43" fontId="3" fillId="0" borderId="0" xfId="0" applyNumberFormat="1" applyFont="1"/>
    <xf numFmtId="164" fontId="3" fillId="0" borderId="0" xfId="1" applyNumberFormat="1" applyFont="1" applyBorder="1"/>
    <xf numFmtId="10" fontId="3" fillId="0" borderId="0" xfId="2" applyNumberFormat="1" applyFont="1" applyBorder="1"/>
    <xf numFmtId="170" fontId="3" fillId="0" borderId="0" xfId="2" applyNumberFormat="1" applyFont="1" applyBorder="1"/>
    <xf numFmtId="0" fontId="11" fillId="0" borderId="0" xfId="0" applyNumberFormat="1" applyFont="1"/>
    <xf numFmtId="0" fontId="11" fillId="0" borderId="0" xfId="0" applyNumberFormat="1" applyFont="1" applyAlignment="1"/>
    <xf numFmtId="168" fontId="11" fillId="0" borderId="0" xfId="0" applyNumberFormat="1" applyFont="1" applyAlignment="1"/>
    <xf numFmtId="164" fontId="11" fillId="0" borderId="0" xfId="0" applyNumberFormat="1" applyFont="1" applyAlignment="1"/>
    <xf numFmtId="14" fontId="11" fillId="0" borderId="0" xfId="0" applyNumberFormat="1" applyFont="1" applyAlignment="1"/>
    <xf numFmtId="164" fontId="11" fillId="0" borderId="0" xfId="1" applyNumberFormat="1" applyFont="1" applyAlignment="1"/>
    <xf numFmtId="169" fontId="11" fillId="0" borderId="0" xfId="0" applyNumberFormat="1" applyFont="1" applyAlignment="1"/>
    <xf numFmtId="169" fontId="11" fillId="0" borderId="0" xfId="1" applyNumberFormat="1" applyFont="1" applyAlignment="1"/>
    <xf numFmtId="0" fontId="9" fillId="0" borderId="2" xfId="0" applyNumberFormat="1" applyFont="1" applyBorder="1" applyAlignment="1"/>
    <xf numFmtId="0" fontId="12" fillId="0" borderId="2" xfId="0" applyNumberFormat="1" applyFont="1" applyBorder="1" applyAlignment="1"/>
    <xf numFmtId="168" fontId="12" fillId="0" borderId="2" xfId="0" applyNumberFormat="1" applyFont="1" applyBorder="1" applyAlignment="1"/>
    <xf numFmtId="164" fontId="12" fillId="0" borderId="2" xfId="0" applyNumberFormat="1" applyFont="1" applyBorder="1" applyAlignment="1"/>
    <xf numFmtId="1" fontId="11" fillId="0" borderId="0" xfId="0" applyNumberFormat="1" applyFont="1" applyAlignment="1"/>
    <xf numFmtId="164" fontId="11" fillId="0" borderId="0" xfId="1" applyFont="1" applyAlignment="1"/>
    <xf numFmtId="0" fontId="9" fillId="2" borderId="2" xfId="0" applyNumberFormat="1" applyFont="1" applyFill="1" applyBorder="1" applyAlignment="1"/>
    <xf numFmtId="0" fontId="12" fillId="2" borderId="2" xfId="0" applyNumberFormat="1" applyFont="1" applyFill="1" applyBorder="1" applyAlignment="1"/>
    <xf numFmtId="168" fontId="12" fillId="2" borderId="2" xfId="0" applyNumberFormat="1" applyFont="1" applyFill="1" applyBorder="1" applyAlignment="1"/>
    <xf numFmtId="164" fontId="12" fillId="2" borderId="2" xfId="0" applyNumberFormat="1" applyFont="1" applyFill="1" applyBorder="1" applyAlignment="1"/>
    <xf numFmtId="0" fontId="3" fillId="0" borderId="0" xfId="0" applyFont="1" applyBorder="1"/>
    <xf numFmtId="0" fontId="3" fillId="0" borderId="0" xfId="1" applyNumberFormat="1" applyFont="1" applyBorder="1"/>
    <xf numFmtId="10" fontId="1" fillId="0" borderId="0" xfId="2" applyNumberFormat="1" applyFont="1"/>
    <xf numFmtId="1" fontId="13" fillId="0" borderId="0" xfId="0" applyNumberFormat="1" applyFont="1" applyAlignment="1"/>
    <xf numFmtId="164" fontId="13" fillId="0" borderId="0" xfId="0" applyNumberFormat="1" applyFont="1" applyAlignment="1"/>
    <xf numFmtId="0" fontId="13" fillId="0" borderId="0" xfId="0" applyNumberFormat="1" applyFont="1" applyAlignment="1"/>
    <xf numFmtId="168" fontId="13" fillId="0" borderId="0" xfId="0" applyNumberFormat="1" applyFont="1" applyAlignment="1"/>
    <xf numFmtId="14" fontId="13" fillId="0" borderId="0" xfId="0" applyNumberFormat="1" applyFont="1" applyAlignment="1"/>
    <xf numFmtId="164" fontId="13" fillId="0" borderId="0" xfId="1" applyNumberFormat="1" applyFont="1" applyAlignment="1"/>
    <xf numFmtId="0" fontId="13" fillId="0" borderId="0" xfId="1" applyNumberFormat="1" applyFont="1" applyAlignment="1"/>
    <xf numFmtId="169" fontId="13" fillId="0" borderId="0" xfId="0" applyNumberFormat="1" applyFont="1" applyAlignment="1"/>
    <xf numFmtId="169" fontId="13" fillId="0" borderId="0" xfId="1" applyNumberFormat="1" applyFont="1" applyAlignment="1"/>
    <xf numFmtId="0" fontId="13" fillId="0" borderId="0" xfId="0" applyNumberFormat="1" applyFont="1" applyBorder="1" applyAlignment="1"/>
    <xf numFmtId="168" fontId="13" fillId="0" borderId="0" xfId="0" applyNumberFormat="1" applyFont="1" applyBorder="1" applyAlignment="1"/>
    <xf numFmtId="164" fontId="13" fillId="0" borderId="0" xfId="0" applyNumberFormat="1" applyFont="1" applyBorder="1" applyAlignment="1"/>
    <xf numFmtId="14" fontId="13" fillId="0" borderId="0" xfId="0" applyNumberFormat="1" applyFont="1" applyBorder="1" applyAlignment="1"/>
    <xf numFmtId="164" fontId="13" fillId="0" borderId="0" xfId="1" applyNumberFormat="1" applyFont="1" applyBorder="1" applyAlignment="1"/>
    <xf numFmtId="0" fontId="13" fillId="0" borderId="0" xfId="1" applyNumberFormat="1" applyFont="1" applyBorder="1" applyAlignment="1"/>
    <xf numFmtId="169" fontId="13" fillId="0" borderId="0" xfId="0" applyNumberFormat="1" applyFont="1" applyBorder="1" applyAlignment="1"/>
    <xf numFmtId="169" fontId="13" fillId="0" borderId="0" xfId="1" applyNumberFormat="1" applyFont="1" applyBorder="1" applyAlignment="1"/>
    <xf numFmtId="0" fontId="4" fillId="0" borderId="0" xfId="0" applyNumberFormat="1" applyFont="1" applyAlignment="1">
      <alignment horizontal="left"/>
    </xf>
    <xf numFmtId="0" fontId="4" fillId="0" borderId="0" xfId="1" applyNumberFormat="1" applyFont="1" applyAlignment="1">
      <alignment horizontal="left"/>
    </xf>
    <xf numFmtId="0" fontId="3" fillId="0" borderId="0" xfId="0" applyNumberFormat="1" applyFont="1" applyAlignment="1">
      <alignment horizontal="left"/>
    </xf>
    <xf numFmtId="0" fontId="13" fillId="0" borderId="0" xfId="0" applyFont="1"/>
    <xf numFmtId="0" fontId="13" fillId="0" borderId="0" xfId="0" applyNumberFormat="1" applyFont="1"/>
    <xf numFmtId="164" fontId="13" fillId="0" borderId="0" xfId="1" applyFont="1" applyAlignment="1"/>
    <xf numFmtId="1" fontId="13" fillId="0" borderId="0" xfId="0" applyNumberFormat="1" applyFont="1" applyBorder="1" applyAlignment="1"/>
    <xf numFmtId="164" fontId="13" fillId="0" borderId="0" xfId="1" applyFont="1" applyBorder="1" applyAlignment="1"/>
    <xf numFmtId="0" fontId="3" fillId="0" borderId="0" xfId="0" applyFont="1" applyAlignment="1"/>
    <xf numFmtId="164" fontId="9" fillId="0" borderId="0" xfId="0" applyNumberFormat="1" applyFont="1" applyAlignment="1"/>
    <xf numFmtId="0" fontId="3" fillId="0" borderId="0" xfId="0" applyFont="1" applyAlignment="1">
      <alignment vertical="top"/>
    </xf>
    <xf numFmtId="0" fontId="3" fillId="0" borderId="0" xfId="1" applyNumberFormat="1" applyFont="1" applyAlignment="1"/>
    <xf numFmtId="0" fontId="3" fillId="0" borderId="0" xfId="0" applyNumberFormat="1" applyFont="1" applyBorder="1" applyAlignment="1"/>
    <xf numFmtId="168" fontId="3" fillId="0" borderId="0" xfId="0" applyNumberFormat="1" applyFont="1" applyBorder="1" applyAlignment="1"/>
    <xf numFmtId="164" fontId="3" fillId="0" borderId="0" xfId="0" applyNumberFormat="1" applyFont="1" applyBorder="1" applyAlignment="1"/>
    <xf numFmtId="1" fontId="3" fillId="0" borderId="0" xfId="0" applyNumberFormat="1" applyFont="1" applyBorder="1" applyAlignment="1"/>
    <xf numFmtId="164" fontId="3" fillId="0" borderId="0" xfId="1" applyFont="1" applyBorder="1" applyAlignment="1"/>
    <xf numFmtId="171" fontId="3" fillId="0" borderId="0" xfId="0" applyNumberFormat="1" applyFont="1" applyBorder="1" applyAlignment="1"/>
    <xf numFmtId="169" fontId="3" fillId="0" borderId="0" xfId="1" applyNumberFormat="1" applyFont="1" applyBorder="1" applyAlignment="1"/>
    <xf numFmtId="169" fontId="3" fillId="0" borderId="0" xfId="0" applyNumberFormat="1" applyFont="1" applyBorder="1" applyAlignment="1"/>
    <xf numFmtId="172" fontId="4" fillId="0" borderId="0" xfId="3" applyNumberFormat="1" applyFont="1" applyAlignment="1">
      <alignment horizontal="left"/>
    </xf>
    <xf numFmtId="172" fontId="3" fillId="0" borderId="0" xfId="3" applyNumberFormat="1" applyFont="1" applyAlignment="1"/>
    <xf numFmtId="172" fontId="3" fillId="0" borderId="0" xfId="3" applyNumberFormat="1" applyFont="1"/>
    <xf numFmtId="0" fontId="14" fillId="0" borderId="0" xfId="0" applyFont="1" applyBorder="1"/>
    <xf numFmtId="164" fontId="14" fillId="0" borderId="0" xfId="1" applyFont="1" applyBorder="1"/>
    <xf numFmtId="0" fontId="14" fillId="0" borderId="0" xfId="0" applyNumberFormat="1" applyFont="1" applyBorder="1"/>
    <xf numFmtId="10" fontId="14" fillId="0" borderId="0" xfId="0" applyNumberFormat="1" applyFont="1" applyBorder="1"/>
    <xf numFmtId="164" fontId="14" fillId="0" borderId="0" xfId="0" applyNumberFormat="1" applyFont="1" applyBorder="1"/>
    <xf numFmtId="1" fontId="14" fillId="0" borderId="0" xfId="0" applyNumberFormat="1" applyFont="1" applyBorder="1"/>
    <xf numFmtId="170" fontId="14" fillId="0" borderId="0" xfId="0" applyNumberFormat="1" applyFont="1" applyBorder="1"/>
    <xf numFmtId="43" fontId="3" fillId="0" borderId="0" xfId="3" applyFont="1"/>
    <xf numFmtId="43" fontId="4" fillId="0" borderId="0" xfId="0" applyNumberFormat="1" applyFont="1"/>
    <xf numFmtId="172" fontId="3" fillId="0" borderId="0" xfId="3" applyNumberFormat="1" applyFont="1" applyBorder="1" applyAlignment="1"/>
    <xf numFmtId="167" fontId="3" fillId="0" borderId="0" xfId="2" applyNumberFormat="1" applyFont="1"/>
    <xf numFmtId="10" fontId="4" fillId="0" borderId="0" xfId="2" applyNumberFormat="1" applyFont="1"/>
    <xf numFmtId="43" fontId="4" fillId="0" borderId="0" xfId="3" applyFont="1"/>
    <xf numFmtId="9" fontId="4" fillId="0" borderId="0" xfId="2" applyFont="1"/>
    <xf numFmtId="9" fontId="3" fillId="0" borderId="0" xfId="2" applyFont="1"/>
    <xf numFmtId="9" fontId="3" fillId="0" borderId="0" xfId="0" applyNumberFormat="1" applyFont="1"/>
    <xf numFmtId="167" fontId="4" fillId="0" borderId="0" xfId="2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44" fontId="0" fillId="0" borderId="0" xfId="0" applyNumberFormat="1"/>
    <xf numFmtId="0" fontId="16" fillId="3" borderId="3" xfId="0" applyFont="1" applyFill="1" applyBorder="1" applyAlignment="1">
      <alignment horizontal="right" wrapText="1"/>
    </xf>
    <xf numFmtId="0" fontId="16" fillId="3" borderId="4" xfId="0" applyFont="1" applyFill="1" applyBorder="1" applyAlignment="1">
      <alignment horizontal="right"/>
    </xf>
    <xf numFmtId="0" fontId="16" fillId="3" borderId="4" xfId="0" applyFont="1" applyFill="1" applyBorder="1" applyAlignment="1">
      <alignment horizontal="right" wrapText="1"/>
    </xf>
    <xf numFmtId="0" fontId="16" fillId="2" borderId="4" xfId="0" applyFont="1" applyFill="1" applyBorder="1" applyAlignment="1">
      <alignment horizontal="right"/>
    </xf>
    <xf numFmtId="0" fontId="16" fillId="2" borderId="4" xfId="0" applyFont="1" applyFill="1" applyBorder="1" applyAlignment="1">
      <alignment horizontal="right" wrapText="1"/>
    </xf>
    <xf numFmtId="3" fontId="16" fillId="2" borderId="4" xfId="0" applyNumberFormat="1" applyFont="1" applyFill="1" applyBorder="1" applyAlignment="1">
      <alignment horizontal="right" wrapText="1"/>
    </xf>
    <xf numFmtId="0" fontId="16" fillId="0" borderId="4" xfId="0" applyFont="1" applyBorder="1" applyAlignment="1">
      <alignment horizontal="right" wrapText="1"/>
    </xf>
    <xf numFmtId="3" fontId="16" fillId="3" borderId="4" xfId="0" applyNumberFormat="1" applyFont="1" applyFill="1" applyBorder="1" applyAlignment="1">
      <alignment horizontal="right" wrapText="1"/>
    </xf>
    <xf numFmtId="0" fontId="16" fillId="2" borderId="3" xfId="0" applyFont="1" applyFill="1" applyBorder="1" applyAlignment="1">
      <alignment horizontal="right" wrapText="1"/>
    </xf>
    <xf numFmtId="0" fontId="15" fillId="2" borderId="5" xfId="0" applyFont="1" applyFill="1" applyBorder="1"/>
    <xf numFmtId="0" fontId="16" fillId="0" borderId="3" xfId="0" applyFont="1" applyBorder="1" applyAlignment="1">
      <alignment horizontal="right" wrapText="1"/>
    </xf>
    <xf numFmtId="0" fontId="15" fillId="0" borderId="4" xfId="0" applyFont="1" applyBorder="1"/>
    <xf numFmtId="0" fontId="17" fillId="4" borderId="4" xfId="0" applyFont="1" applyFill="1" applyBorder="1" applyAlignment="1">
      <alignment horizontal="center" wrapText="1"/>
    </xf>
    <xf numFmtId="0" fontId="17" fillId="4" borderId="4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16" fillId="2" borderId="3" xfId="0" applyFont="1" applyFill="1" applyBorder="1" applyAlignment="1">
      <alignment horizontal="right" wrapText="1"/>
    </xf>
    <xf numFmtId="0" fontId="15" fillId="2" borderId="4" xfId="0" applyFont="1" applyFill="1" applyBorder="1"/>
    <xf numFmtId="43" fontId="1" fillId="0" borderId="0" xfId="0" applyNumberFormat="1" applyFont="1"/>
    <xf numFmtId="164" fontId="1" fillId="0" borderId="6" xfId="1" applyFont="1" applyBorder="1"/>
    <xf numFmtId="43" fontId="3" fillId="0" borderId="6" xfId="0" applyNumberFormat="1" applyFont="1" applyBorder="1"/>
    <xf numFmtId="43" fontId="1" fillId="0" borderId="6" xfId="0" applyNumberFormat="1" applyFont="1" applyBorder="1"/>
  </cellXfs>
  <cellStyles count="4">
    <cellStyle name="Moeda" xfId="1" builtinId="4"/>
    <cellStyle name="Normal" xfId="0" builtinId="0"/>
    <cellStyle name="Porcentagem" xfId="2" builtinId="5"/>
    <cellStyle name="Separador de milhares" xfId="3" builtinId="3"/>
  </cellStyles>
  <dxfs count="356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ahoma"/>
        <scheme val="none"/>
      </font>
      <fill>
        <patternFill patternType="solid">
          <fgColor indexed="64"/>
          <bgColor rgb="FFC0C0C0"/>
        </patternFill>
      </fill>
      <alignment horizontal="center" vertical="bottom" textRotation="0" wrapText="1" indent="0" relativeIndent="0" justifyLastLine="0" shrinkToFit="0" mergeCell="0" readingOrder="0"/>
    </dxf>
    <dxf>
      <border outline="0">
        <bottom style="thin">
          <color theme="4" tint="0.39997558519241921"/>
        </bottom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70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70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70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70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top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FF0000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9" formatCode="0.000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9" formatCode="0.000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9" formatCode="0.000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71" formatCode="dd/mm/yyyy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8" formatCode="d/m/yy;@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" formatCode="0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" formatCode="0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8" formatCode="d/m/yy;@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alignment vertical="top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top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72" formatCode="_(* #,##0.0000_);_(* \(#,##0.0000\);_(* &quot;-&quot;??_);_(@_)"/>
      <alignment horizontal="general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top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FF0000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9" formatCode="0.000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9" formatCode="0.000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9" formatCode="0.000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71" formatCode="dd/mm/yyyy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8" formatCode="d/m/yy;@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" formatCode="0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" formatCode="0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8" formatCode="d/m/yy;@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alignment vertical="top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left" vertical="bottom" textRotation="0" wrapText="0" indent="0" relativeIndent="255" justifyLastLine="0" shrinkToFit="0" readingOrder="0"/>
    </dxf>
  </dxf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ngelbert" refreshedDate="41757.443213078703" createdVersion="3" refreshedVersion="3" minRefreshableVersion="3" recordCount="119">
  <cacheSource type="worksheet">
    <worksheetSource name="Tabela9"/>
  </cacheSource>
  <cacheFields count="14">
    <cacheField name="Ticket" numFmtId="0">
      <sharedItems containsString="0" containsBlank="1" containsNumber="1" containsInteger="1" minValue="21044604" maxValue="21129706"/>
    </cacheField>
    <cacheField name="OpenTime" numFmtId="0">
      <sharedItems containsBlank="1"/>
    </cacheField>
    <cacheField name="Type" numFmtId="0">
      <sharedItems containsBlank="1" count="4">
        <s v="buy"/>
        <m/>
        <s v="sell"/>
        <s v="balance" u="1"/>
      </sharedItems>
    </cacheField>
    <cacheField name="Size" numFmtId="0">
      <sharedItems containsString="0" containsBlank="1" containsNumber="1" minValue="0.75" maxValue="12.85"/>
    </cacheField>
    <cacheField name="Item" numFmtId="0">
      <sharedItems containsBlank="1" count="7">
        <s v="gbpusd"/>
        <m/>
        <s v="eurgbp"/>
        <s v="usdcad"/>
        <s v="usdchf"/>
        <s v="eurusd"/>
        <s v="audusd"/>
      </sharedItems>
    </cacheField>
    <cacheField name="Price" numFmtId="0">
      <sharedItems containsString="0" containsBlank="1" containsNumber="1" minValue="0.82133999999999996" maxValue="168419"/>
    </cacheField>
    <cacheField name="S/L" numFmtId="0">
      <sharedItems containsString="0" containsBlank="1" containsNumber="1" minValue="0.82169999999999999" maxValue="168230"/>
    </cacheField>
    <cacheField name="T/P" numFmtId="0">
      <sharedItems containsString="0" containsBlank="1" containsNumber="1" containsInteger="1" minValue="0" maxValue="0"/>
    </cacheField>
    <cacheField name="CloseTime" numFmtId="0">
      <sharedItems containsBlank="1"/>
    </cacheField>
    <cacheField name="Price2" numFmtId="0">
      <sharedItems containsString="0" containsBlank="1" containsNumber="1" minValue="0.82169999999999999" maxValue="168230"/>
    </cacheField>
    <cacheField name="Commission" numFmtId="0">
      <sharedItems containsBlank="1" containsMixedTypes="1" containsNumber="1" containsInteger="1" minValue="0" maxValue="0" count="5">
        <s v="[0][sl]"/>
        <n v="0"/>
        <s v="[1][sl]"/>
        <s v="[2][sl]"/>
        <m/>
      </sharedItems>
    </cacheField>
    <cacheField name="Taxes" numFmtId="0">
      <sharedItems containsString="0" containsBlank="1" containsNumber="1" containsInteger="1" minValue="0" maxValue="0"/>
    </cacheField>
    <cacheField name="Swap" numFmtId="0">
      <sharedItems containsString="0" containsBlank="1" containsNumber="1" minValue="-146.68" maxValue="23.72"/>
    </cacheField>
    <cacheField name="Profit" numFmtId="0">
      <sharedItems containsString="0" containsBlank="1" containsNumber="1" minValue="-3572.3" maxValue="1315.7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9">
  <r>
    <n v="21054019"/>
    <s v="2014,04,1708:07:18"/>
    <x v="0"/>
    <n v="2.23"/>
    <x v="0"/>
    <n v="168419"/>
    <n v="168230"/>
    <n v="0"/>
    <s v="2014,04,1710:13:03"/>
    <n v="168230"/>
    <x v="0"/>
    <m/>
    <m/>
    <n v="-421.47"/>
  </r>
  <r>
    <m/>
    <m/>
    <x v="1"/>
    <m/>
    <x v="1"/>
    <m/>
    <m/>
    <m/>
    <m/>
    <n v="8855"/>
    <x v="1"/>
    <n v="0"/>
    <n v="0"/>
    <m/>
  </r>
  <r>
    <n v="21044604"/>
    <s v="2014,04,1700:19:57"/>
    <x v="2"/>
    <n v="6.9"/>
    <x v="2"/>
    <n v="0.82133999999999996"/>
    <n v="0.82420000000000004"/>
    <n v="0"/>
    <s v="2014,04,1710:20:10"/>
    <n v="0.82420000000000004"/>
    <x v="2"/>
    <m/>
    <m/>
    <n v="-3319.75"/>
  </r>
  <r>
    <m/>
    <m/>
    <x v="1"/>
    <m/>
    <x v="1"/>
    <m/>
    <m/>
    <m/>
    <m/>
    <n v="8855"/>
    <x v="1"/>
    <n v="0"/>
    <n v="0"/>
    <m/>
  </r>
  <r>
    <n v="21058005"/>
    <s v="2014,04,1711:17:31"/>
    <x v="0"/>
    <n v="4.4000000000000004"/>
    <x v="3"/>
    <n v="110195"/>
    <n v="109980"/>
    <n v="0"/>
    <s v="2014,04,1712:30:01"/>
    <n v="109980"/>
    <x v="0"/>
    <m/>
    <m/>
    <n v="-860.16"/>
  </r>
  <r>
    <m/>
    <m/>
    <x v="1"/>
    <m/>
    <x v="1"/>
    <m/>
    <m/>
    <m/>
    <m/>
    <n v="8855"/>
    <x v="1"/>
    <n v="0"/>
    <n v="0"/>
    <m/>
  </r>
  <r>
    <n v="21058723"/>
    <s v="2014,04,1711:59:26"/>
    <x v="2"/>
    <n v="3.44"/>
    <x v="0"/>
    <n v="168031"/>
    <n v="168160"/>
    <n v="0"/>
    <s v="2014,04,1713:39:43"/>
    <n v="168160"/>
    <x v="0"/>
    <m/>
    <m/>
    <n v="-443.76"/>
  </r>
  <r>
    <m/>
    <m/>
    <x v="1"/>
    <m/>
    <x v="1"/>
    <m/>
    <m/>
    <m/>
    <m/>
    <n v="8855"/>
    <x v="1"/>
    <n v="0"/>
    <n v="0"/>
    <m/>
  </r>
  <r>
    <n v="21057029"/>
    <s v="2014,04,1710:19:49"/>
    <x v="0"/>
    <n v="4.33"/>
    <x v="2"/>
    <n v="0.82415000000000005"/>
    <n v="0.82310000000000005"/>
    <n v="0"/>
    <s v="2014,04,1713:55:52"/>
    <n v="0.82310000000000005"/>
    <x v="0"/>
    <m/>
    <m/>
    <n v="-764.3"/>
  </r>
  <r>
    <m/>
    <m/>
    <x v="1"/>
    <m/>
    <x v="1"/>
    <m/>
    <m/>
    <m/>
    <m/>
    <n v="8855"/>
    <x v="1"/>
    <n v="0"/>
    <n v="0"/>
    <m/>
  </r>
  <r>
    <n v="21057068"/>
    <s v="2014,04,1710:22:38"/>
    <x v="2"/>
    <n v="6.21"/>
    <x v="4"/>
    <n v="0.87761999999999996"/>
    <n v="0.88070000000000004"/>
    <n v="0"/>
    <s v="2014,04,1713:56:07"/>
    <n v="0.88070000000000004"/>
    <x v="2"/>
    <m/>
    <m/>
    <n v="-2171.77"/>
  </r>
  <r>
    <m/>
    <m/>
    <x v="1"/>
    <m/>
    <x v="1"/>
    <m/>
    <m/>
    <m/>
    <m/>
    <n v="8855"/>
    <x v="1"/>
    <n v="0"/>
    <n v="0"/>
    <m/>
  </r>
  <r>
    <n v="21051646"/>
    <s v="2014,04,1706:15:29"/>
    <x v="0"/>
    <n v="3.45"/>
    <x v="5"/>
    <n v="138456"/>
    <n v="138370"/>
    <n v="0"/>
    <s v="2014,04,1713:58:47"/>
    <n v="138370"/>
    <x v="0"/>
    <m/>
    <m/>
    <n v="-296.7"/>
  </r>
  <r>
    <m/>
    <m/>
    <x v="1"/>
    <m/>
    <x v="1"/>
    <m/>
    <m/>
    <m/>
    <m/>
    <n v="8855"/>
    <x v="1"/>
    <n v="0"/>
    <n v="-19.670000000000002"/>
    <m/>
  </r>
  <r>
    <n v="21063027"/>
    <s v="2014,04,1716:14:23"/>
    <x v="2"/>
    <n v="4.37"/>
    <x v="0"/>
    <n v="167945"/>
    <n v="167990"/>
    <n v="0"/>
    <s v="2014,04,1812:54:12"/>
    <n v="167990"/>
    <x v="0"/>
    <m/>
    <m/>
    <n v="-196.65"/>
  </r>
  <r>
    <m/>
    <m/>
    <x v="1"/>
    <m/>
    <x v="1"/>
    <m/>
    <m/>
    <m/>
    <m/>
    <n v="8855"/>
    <x v="1"/>
    <n v="0"/>
    <n v="0"/>
    <m/>
  </r>
  <r>
    <n v="21067781"/>
    <s v="2014,04,1808:13:57"/>
    <x v="0"/>
    <n v="6.16"/>
    <x v="2"/>
    <n v="0.82364999999999999"/>
    <n v="0.82220000000000004"/>
    <n v="0"/>
    <s v="2014,04,1820:13:01"/>
    <n v="0.82220000000000004"/>
    <x v="0"/>
    <m/>
    <m/>
    <n v="-1499.86"/>
  </r>
  <r>
    <m/>
    <m/>
    <x v="1"/>
    <m/>
    <x v="1"/>
    <m/>
    <m/>
    <m/>
    <m/>
    <n v="8855"/>
    <x v="1"/>
    <n v="0"/>
    <n v="-49.25"/>
    <m/>
  </r>
  <r>
    <n v="21057422"/>
    <s v="2014,04,1710:42:32"/>
    <x v="2"/>
    <n v="2.92"/>
    <x v="6"/>
    <n v="0.93432999999999999"/>
    <n v="0.93430000000000002"/>
    <n v="0"/>
    <s v="2014,04,2022:37:18"/>
    <n v="0.93430000000000002"/>
    <x v="0"/>
    <m/>
    <m/>
    <n v="8.76"/>
  </r>
  <r>
    <m/>
    <m/>
    <x v="1"/>
    <m/>
    <x v="1"/>
    <m/>
    <m/>
    <m/>
    <m/>
    <n v="8855"/>
    <x v="1"/>
    <n v="0"/>
    <n v="-46.88"/>
    <m/>
  </r>
  <r>
    <n v="21063104"/>
    <s v="2014,04,1716:18:21"/>
    <x v="2"/>
    <n v="2.78"/>
    <x v="6"/>
    <n v="0.93281999999999998"/>
    <n v="0.93340000000000001"/>
    <n v="0"/>
    <s v="2014,04,2105:02:15"/>
    <n v="0.93340000000000001"/>
    <x v="2"/>
    <m/>
    <m/>
    <n v="-161.24"/>
  </r>
  <r>
    <m/>
    <m/>
    <x v="1"/>
    <m/>
    <x v="1"/>
    <m/>
    <m/>
    <m/>
    <m/>
    <n v="8855"/>
    <x v="1"/>
    <n v="0"/>
    <n v="-23.05"/>
    <m/>
  </r>
  <r>
    <n v="21069584"/>
    <s v="2014,04,1817:46:22"/>
    <x v="0"/>
    <n v="3.81"/>
    <x v="3"/>
    <n v="110288"/>
    <n v="110150"/>
    <n v="0"/>
    <s v="2014,04,2109:48:52"/>
    <n v="110150"/>
    <x v="0"/>
    <m/>
    <m/>
    <n v="-477.33"/>
  </r>
  <r>
    <m/>
    <m/>
    <x v="1"/>
    <m/>
    <x v="1"/>
    <m/>
    <m/>
    <m/>
    <m/>
    <n v="8855"/>
    <x v="1"/>
    <n v="0"/>
    <n v="0"/>
    <m/>
  </r>
  <r>
    <n v="21074265"/>
    <s v="2014,04,2108:59:20"/>
    <x v="0"/>
    <n v="4.99"/>
    <x v="5"/>
    <n v="138295"/>
    <n v="138160"/>
    <n v="0"/>
    <s v="2014,04,2111:00:11"/>
    <n v="138160"/>
    <x v="0"/>
    <m/>
    <m/>
    <n v="-673.65"/>
  </r>
  <r>
    <m/>
    <m/>
    <x v="1"/>
    <m/>
    <x v="1"/>
    <m/>
    <m/>
    <m/>
    <m/>
    <n v="8855"/>
    <x v="1"/>
    <n v="0"/>
    <n v="0"/>
    <m/>
  </r>
  <r>
    <n v="21073603"/>
    <s v="2014,04,2106:45:48"/>
    <x v="2"/>
    <n v="11.29"/>
    <x v="4"/>
    <n v="0.88221000000000005"/>
    <n v="0.88349999999999995"/>
    <n v="0"/>
    <s v="2014,04,2111:35:07"/>
    <n v="0.88349999999999995"/>
    <x v="2"/>
    <m/>
    <m/>
    <n v="-1648.46"/>
  </r>
  <r>
    <m/>
    <m/>
    <x v="1"/>
    <m/>
    <x v="1"/>
    <m/>
    <m/>
    <m/>
    <m/>
    <n v="8855"/>
    <x v="1"/>
    <n v="0"/>
    <n v="0"/>
    <m/>
  </r>
  <r>
    <n v="21075142"/>
    <s v="2014,04,2111:39:46"/>
    <x v="2"/>
    <n v="4.83"/>
    <x v="3"/>
    <n v="110074"/>
    <n v="110200"/>
    <n v="0"/>
    <s v="2014,04,2112:17:03"/>
    <n v="110200"/>
    <x v="0"/>
    <m/>
    <m/>
    <n v="-552.25"/>
  </r>
  <r>
    <m/>
    <m/>
    <x v="1"/>
    <m/>
    <x v="1"/>
    <m/>
    <m/>
    <m/>
    <m/>
    <n v="8855"/>
    <x v="1"/>
    <n v="0"/>
    <n v="0"/>
    <m/>
  </r>
  <r>
    <n v="21073092"/>
    <s v="2014,04,2104:26:27"/>
    <x v="0"/>
    <n v="8.18"/>
    <x v="0"/>
    <n v="168015"/>
    <n v="167910"/>
    <n v="0"/>
    <s v="2014,04,2113:41:38"/>
    <n v="167910"/>
    <x v="2"/>
    <m/>
    <m/>
    <n v="-858.9"/>
  </r>
  <r>
    <m/>
    <m/>
    <x v="1"/>
    <m/>
    <x v="1"/>
    <m/>
    <m/>
    <m/>
    <m/>
    <n v="8855"/>
    <x v="1"/>
    <n v="0"/>
    <n v="0"/>
    <m/>
  </r>
  <r>
    <n v="21072273"/>
    <s v="2014,04,2101:12:21"/>
    <x v="2"/>
    <n v="12.85"/>
    <x v="6"/>
    <n v="0.93152000000000001"/>
    <n v="0.93430000000000002"/>
    <n v="0"/>
    <s v="2014,04,2114:24:31"/>
    <n v="0.93430000000000002"/>
    <x v="3"/>
    <m/>
    <m/>
    <n v="-3572.3"/>
  </r>
  <r>
    <m/>
    <m/>
    <x v="1"/>
    <m/>
    <x v="1"/>
    <m/>
    <m/>
    <m/>
    <m/>
    <n v="8855"/>
    <x v="1"/>
    <n v="0"/>
    <n v="-4.8"/>
    <m/>
  </r>
  <r>
    <n v="21073546"/>
    <s v="2014,04,2106:27:53"/>
    <x v="2"/>
    <n v="5.65"/>
    <x v="2"/>
    <n v="0.82184000000000001"/>
    <n v="0.82169999999999999"/>
    <n v="0"/>
    <s v="2014,04,2123:15:01"/>
    <n v="0.82169999999999999"/>
    <x v="0"/>
    <m/>
    <m/>
    <n v="132.83000000000001"/>
  </r>
  <r>
    <m/>
    <m/>
    <x v="1"/>
    <m/>
    <x v="1"/>
    <m/>
    <m/>
    <m/>
    <m/>
    <n v="8855"/>
    <x v="1"/>
    <n v="0"/>
    <n v="-13.26"/>
    <m/>
  </r>
  <r>
    <n v="21076576"/>
    <s v="2014,04,2114:59:57"/>
    <x v="2"/>
    <n v="5.9"/>
    <x v="5"/>
    <n v="138015"/>
    <n v="138050"/>
    <n v="0"/>
    <s v="2014,04,2206:53:37"/>
    <n v="138050"/>
    <x v="0"/>
    <m/>
    <m/>
    <n v="-206.5"/>
  </r>
  <r>
    <m/>
    <m/>
    <x v="1"/>
    <m/>
    <x v="1"/>
    <m/>
    <m/>
    <m/>
    <m/>
    <n v="8855"/>
    <x v="1"/>
    <n v="0"/>
    <n v="-20.59"/>
    <m/>
  </r>
  <r>
    <n v="21076635"/>
    <s v="2014,04,2115:00:24"/>
    <x v="2"/>
    <n v="9.16"/>
    <x v="5"/>
    <n v="137981"/>
    <n v="138160"/>
    <n v="0"/>
    <s v="2014,04,2210:28:43"/>
    <n v="138160"/>
    <x v="2"/>
    <m/>
    <m/>
    <n v="-1639.64"/>
  </r>
  <r>
    <m/>
    <m/>
    <x v="1"/>
    <m/>
    <x v="1"/>
    <m/>
    <m/>
    <m/>
    <m/>
    <n v="8855"/>
    <x v="1"/>
    <n v="0"/>
    <n v="0"/>
    <m/>
  </r>
  <r>
    <n v="21081737"/>
    <s v="2014,04,2206:13:36"/>
    <x v="0"/>
    <n v="4.33"/>
    <x v="4"/>
    <n v="0.88566"/>
    <n v="0.88349999999999995"/>
    <n v="0"/>
    <s v="2014,04,2210:30:27"/>
    <n v="0.88349999999999995"/>
    <x v="2"/>
    <m/>
    <m/>
    <n v="-1058.6099999999999"/>
  </r>
  <r>
    <m/>
    <m/>
    <x v="1"/>
    <m/>
    <x v="1"/>
    <m/>
    <m/>
    <m/>
    <m/>
    <n v="8855"/>
    <x v="1"/>
    <n v="0"/>
    <n v="0"/>
    <m/>
  </r>
  <r>
    <n v="21080326"/>
    <s v="2014,04,2200:24:41"/>
    <x v="0"/>
    <n v="4.83"/>
    <x v="3"/>
    <n v="110255"/>
    <n v="110090"/>
    <n v="0"/>
    <s v="2014,04,2212:29:49"/>
    <n v="110090"/>
    <x v="0"/>
    <m/>
    <m/>
    <n v="-723.91"/>
  </r>
  <r>
    <m/>
    <m/>
    <x v="1"/>
    <m/>
    <x v="1"/>
    <m/>
    <m/>
    <m/>
    <m/>
    <n v="8855"/>
    <x v="1"/>
    <n v="0"/>
    <n v="-85.52"/>
    <m/>
  </r>
  <r>
    <n v="21069701"/>
    <s v="2014,04,1818:23:12"/>
    <x v="0"/>
    <n v="7.07"/>
    <x v="3"/>
    <n v="110305"/>
    <n v="110050"/>
    <n v="0"/>
    <s v="2014,04,2212:30:02"/>
    <n v="110050"/>
    <x v="2"/>
    <m/>
    <m/>
    <n v="-1638.21"/>
  </r>
  <r>
    <m/>
    <m/>
    <x v="1"/>
    <m/>
    <x v="1"/>
    <m/>
    <m/>
    <m/>
    <m/>
    <n v="8855"/>
    <x v="1"/>
    <n v="0"/>
    <n v="-8.19"/>
    <m/>
  </r>
  <r>
    <n v="21076560"/>
    <s v="2014,04,2114:59:13"/>
    <x v="2"/>
    <n v="9.64"/>
    <x v="2"/>
    <n v="0.82150000000000001"/>
    <n v="0.82169999999999999"/>
    <n v="0"/>
    <s v="2014,04,2213:04:23"/>
    <n v="0.82169999999999999"/>
    <x v="2"/>
    <m/>
    <m/>
    <n v="-324.32"/>
  </r>
  <r>
    <m/>
    <m/>
    <x v="1"/>
    <m/>
    <x v="1"/>
    <m/>
    <m/>
    <m/>
    <m/>
    <n v="8855"/>
    <x v="1"/>
    <n v="0"/>
    <n v="0"/>
    <m/>
  </r>
  <r>
    <n v="21082902"/>
    <s v="2014,04,2208:19:03"/>
    <x v="0"/>
    <n v="2.73"/>
    <x v="5"/>
    <n v="138105"/>
    <n v="138080"/>
    <n v="0"/>
    <s v="2014,04,2214:00:07"/>
    <n v="138080"/>
    <x v="0"/>
    <m/>
    <m/>
    <n v="-68.25"/>
  </r>
  <r>
    <m/>
    <m/>
    <x v="1"/>
    <m/>
    <x v="1"/>
    <m/>
    <m/>
    <m/>
    <m/>
    <n v="8855"/>
    <x v="1"/>
    <n v="0"/>
    <n v="0"/>
    <m/>
  </r>
  <r>
    <n v="21082103"/>
    <s v="2014,04,2206:53:38"/>
    <x v="2"/>
    <n v="5.85"/>
    <x v="4"/>
    <n v="0.88412000000000002"/>
    <n v="0.88617000000000001"/>
    <n v="0"/>
    <s v="2014,04,2214:33:00"/>
    <n v="0.88617000000000001"/>
    <x v="0"/>
    <m/>
    <m/>
    <n v="-1353.3"/>
  </r>
  <r>
    <m/>
    <m/>
    <x v="1"/>
    <m/>
    <x v="1"/>
    <m/>
    <m/>
    <m/>
    <m/>
    <n v="8855"/>
    <x v="1"/>
    <n v="0"/>
    <n v="15.17"/>
    <m/>
  </r>
  <r>
    <n v="21080658"/>
    <s v="2014,04,2201:44:31"/>
    <x v="0"/>
    <n v="2.84"/>
    <x v="6"/>
    <n v="0.93518000000000001"/>
    <n v="0.93579999999999997"/>
    <n v="0"/>
    <s v="2014,04,2301:30:02"/>
    <n v="0.93579999999999997"/>
    <x v="0"/>
    <m/>
    <m/>
    <n v="176.08"/>
  </r>
  <r>
    <m/>
    <m/>
    <x v="1"/>
    <m/>
    <x v="1"/>
    <m/>
    <m/>
    <m/>
    <m/>
    <n v="8855"/>
    <x v="1"/>
    <n v="0"/>
    <n v="23.72"/>
    <m/>
  </r>
  <r>
    <n v="21081628"/>
    <s v="2014,04,2206:02:29"/>
    <x v="0"/>
    <n v="4.4400000000000004"/>
    <x v="6"/>
    <n v="0.93635000000000002"/>
    <n v="0.93430000000000002"/>
    <n v="0"/>
    <s v="2014,04,2301:30:03"/>
    <n v="0.93430000000000002"/>
    <x v="2"/>
    <m/>
    <m/>
    <n v="-910.2"/>
  </r>
  <r>
    <m/>
    <m/>
    <x v="1"/>
    <m/>
    <x v="1"/>
    <m/>
    <m/>
    <m/>
    <m/>
    <n v="8855"/>
    <x v="1"/>
    <n v="0"/>
    <n v="-6.48"/>
    <m/>
  </r>
  <r>
    <n v="21081594"/>
    <s v="2014,04,2206:00:02"/>
    <x v="0"/>
    <n v="5.9"/>
    <x v="0"/>
    <n v="168007"/>
    <n v="168230"/>
    <n v="0"/>
    <s v="2014,04,2305:01:45"/>
    <n v="168230"/>
    <x v="0"/>
    <m/>
    <m/>
    <n v="1315.7"/>
  </r>
  <r>
    <m/>
    <m/>
    <x v="1"/>
    <m/>
    <x v="1"/>
    <m/>
    <m/>
    <m/>
    <m/>
    <n v="8855"/>
    <x v="1"/>
    <n v="0"/>
    <n v="0"/>
    <m/>
  </r>
  <r>
    <n v="21093248"/>
    <s v="2014,04,2306:05:36"/>
    <x v="0"/>
    <n v="3.98"/>
    <x v="5"/>
    <n v="138225"/>
    <n v="138040"/>
    <n v="0"/>
    <s v="2014,04,2307:07:54"/>
    <n v="138040"/>
    <x v="0"/>
    <m/>
    <m/>
    <n v="-736.3"/>
  </r>
  <r>
    <m/>
    <m/>
    <x v="1"/>
    <m/>
    <x v="1"/>
    <m/>
    <m/>
    <m/>
    <m/>
    <n v="8855"/>
    <x v="1"/>
    <n v="0"/>
    <n v="0"/>
    <m/>
  </r>
  <r>
    <n v="21091808"/>
    <s v="2014,04,2301:30:08"/>
    <x v="0"/>
    <n v="5.34"/>
    <x v="3"/>
    <n v="110373"/>
    <n v="110240"/>
    <n v="0"/>
    <s v="2014,04,2311:39:22"/>
    <n v="110240"/>
    <x v="0"/>
    <m/>
    <m/>
    <n v="-644.25"/>
  </r>
  <r>
    <m/>
    <m/>
    <x v="1"/>
    <m/>
    <x v="1"/>
    <m/>
    <m/>
    <m/>
    <m/>
    <n v="8855"/>
    <x v="1"/>
    <n v="0"/>
    <n v="-10.77"/>
    <m/>
  </r>
  <r>
    <n v="21087334"/>
    <s v="2014,04,2214:36:05"/>
    <x v="0"/>
    <n v="1.78"/>
    <x v="3"/>
    <n v="110385"/>
    <n v="110220"/>
    <n v="0"/>
    <s v="2014,04,2311:42:37"/>
    <n v="110220"/>
    <x v="2"/>
    <m/>
    <m/>
    <n v="-266.47000000000003"/>
  </r>
  <r>
    <m/>
    <m/>
    <x v="1"/>
    <m/>
    <x v="1"/>
    <m/>
    <m/>
    <m/>
    <m/>
    <n v="8855"/>
    <x v="1"/>
    <n v="0"/>
    <n v="-21.36"/>
    <m/>
  </r>
  <r>
    <n v="21073296"/>
    <s v="2014,04,2105:27:38"/>
    <x v="0"/>
    <n v="9.73"/>
    <x v="0"/>
    <n v="168067"/>
    <n v="167700"/>
    <n v="0"/>
    <s v="2014,04,2314:45:21"/>
    <n v="167700"/>
    <x v="3"/>
    <m/>
    <m/>
    <n v="-3570.91"/>
  </r>
  <r>
    <m/>
    <m/>
    <x v="1"/>
    <m/>
    <x v="1"/>
    <m/>
    <m/>
    <m/>
    <m/>
    <n v="8855"/>
    <x v="1"/>
    <n v="0"/>
    <n v="0"/>
    <m/>
  </r>
  <r>
    <n v="21097886"/>
    <s v="2014,04,2313:36:58"/>
    <x v="0"/>
    <n v="2.4700000000000002"/>
    <x v="3"/>
    <n v="110515"/>
    <n v="110220"/>
    <n v="0"/>
    <s v="2014,04,2316:09:15"/>
    <n v="110220"/>
    <x v="0"/>
    <m/>
    <m/>
    <n v="-661.09"/>
  </r>
  <r>
    <m/>
    <m/>
    <x v="1"/>
    <m/>
    <x v="1"/>
    <m/>
    <m/>
    <m/>
    <m/>
    <n v="8855"/>
    <x v="1"/>
    <n v="0"/>
    <n v="0"/>
    <m/>
  </r>
  <r>
    <n v="21097887"/>
    <s v="2014,04,2313:36:59"/>
    <x v="0"/>
    <n v="4.9400000000000004"/>
    <x v="3"/>
    <n v="110515"/>
    <n v="110220"/>
    <n v="0"/>
    <s v="2014,04,2316:09:15"/>
    <n v="110220"/>
    <x v="2"/>
    <m/>
    <m/>
    <n v="-1322.17"/>
  </r>
  <r>
    <m/>
    <m/>
    <x v="1"/>
    <m/>
    <x v="1"/>
    <m/>
    <m/>
    <m/>
    <m/>
    <n v="8855"/>
    <x v="1"/>
    <n v="0"/>
    <n v="0"/>
    <m/>
  </r>
  <r>
    <n v="21092539"/>
    <s v="2014,04,2303:27:12"/>
    <x v="2"/>
    <n v="0.75"/>
    <x v="6"/>
    <n v="0.92832999999999999"/>
    <n v="0.92930000000000001"/>
    <n v="0"/>
    <s v="2014,04,2320:31:07"/>
    <n v="0.92930000000000001"/>
    <x v="0"/>
    <m/>
    <m/>
    <n v="-72.75"/>
  </r>
  <r>
    <m/>
    <m/>
    <x v="1"/>
    <m/>
    <x v="1"/>
    <m/>
    <m/>
    <m/>
    <m/>
    <n v="8855"/>
    <x v="1"/>
    <n v="0"/>
    <n v="0"/>
    <m/>
  </r>
  <r>
    <n v="21102883"/>
    <s v="2014,04,2400:01:44"/>
    <x v="0"/>
    <n v="4.29"/>
    <x v="6"/>
    <n v="0.92959999999999998"/>
    <n v="0.92830000000000001"/>
    <n v="0"/>
    <s v="2014,04,2402:58:17"/>
    <n v="0.92830000000000001"/>
    <x v="0"/>
    <m/>
    <m/>
    <n v="-557.70000000000005"/>
  </r>
  <r>
    <m/>
    <m/>
    <x v="1"/>
    <m/>
    <x v="1"/>
    <m/>
    <m/>
    <m/>
    <m/>
    <n v="8855"/>
    <x v="1"/>
    <n v="0"/>
    <n v="0"/>
    <m/>
  </r>
  <r>
    <n v="21103530"/>
    <s v="2014,04,2402:21:13"/>
    <x v="0"/>
    <n v="4.2699999999999996"/>
    <x v="5"/>
    <n v="138265"/>
    <n v="138170"/>
    <n v="0"/>
    <s v="2014,04,2406:02:39"/>
    <n v="138170"/>
    <x v="0"/>
    <m/>
    <m/>
    <n v="-405.65"/>
  </r>
  <r>
    <m/>
    <m/>
    <x v="1"/>
    <m/>
    <x v="1"/>
    <m/>
    <m/>
    <m/>
    <m/>
    <n v="8855"/>
    <x v="1"/>
    <n v="0"/>
    <n v="-17.71"/>
    <m/>
  </r>
  <r>
    <n v="21094583"/>
    <s v="2014,04,2308:11:32"/>
    <x v="2"/>
    <n v="3"/>
    <x v="4"/>
    <n v="0.88253999999999999"/>
    <n v="0.88370000000000004"/>
    <n v="0"/>
    <s v="2014,04,2406:10:07"/>
    <n v="0.88370000000000004"/>
    <x v="0"/>
    <m/>
    <m/>
    <n v="-393.8"/>
  </r>
  <r>
    <m/>
    <m/>
    <x v="1"/>
    <m/>
    <x v="1"/>
    <m/>
    <m/>
    <m/>
    <m/>
    <n v="8855"/>
    <x v="1"/>
    <n v="0"/>
    <n v="-42.12"/>
    <m/>
  </r>
  <r>
    <n v="21094512"/>
    <s v="2014,04,2308:02:18"/>
    <x v="0"/>
    <n v="3.74"/>
    <x v="2"/>
    <n v="0.82264999999999999"/>
    <n v="0.82279999999999998"/>
    <n v="0"/>
    <s v="2014,04,2406:35:36"/>
    <n v="0.82279999999999998"/>
    <x v="0"/>
    <m/>
    <m/>
    <n v="94.18"/>
  </r>
  <r>
    <m/>
    <m/>
    <x v="1"/>
    <m/>
    <x v="1"/>
    <m/>
    <m/>
    <m/>
    <m/>
    <n v="8855"/>
    <x v="1"/>
    <n v="0"/>
    <n v="-25.24"/>
    <m/>
  </r>
  <r>
    <n v="21096026"/>
    <s v="2014,04,2310:14:49"/>
    <x v="2"/>
    <n v="1.87"/>
    <x v="0"/>
    <n v="167853"/>
    <n v="167950"/>
    <n v="0"/>
    <s v="2014,04,2406:36:41"/>
    <n v="167950"/>
    <x v="0"/>
    <m/>
    <m/>
    <n v="-181.39"/>
  </r>
  <r>
    <m/>
    <m/>
    <x v="1"/>
    <m/>
    <x v="1"/>
    <m/>
    <m/>
    <m/>
    <m/>
    <n v="8855"/>
    <x v="1"/>
    <n v="0"/>
    <n v="0"/>
    <m/>
  </r>
  <r>
    <n v="21105547"/>
    <s v="2014,04,2408:00:07"/>
    <x v="0"/>
    <n v="3.34"/>
    <x v="5"/>
    <n v="138378"/>
    <n v="138180"/>
    <n v="0"/>
    <s v="2014,04,2409:00:07"/>
    <n v="138180"/>
    <x v="0"/>
    <m/>
    <m/>
    <n v="-661.32"/>
  </r>
  <r>
    <m/>
    <m/>
    <x v="1"/>
    <m/>
    <x v="1"/>
    <m/>
    <m/>
    <m/>
    <m/>
    <n v="8855"/>
    <x v="1"/>
    <n v="0"/>
    <n v="0"/>
    <m/>
  </r>
  <r>
    <n v="21104850"/>
    <s v="2014,04,2406:54:07"/>
    <x v="2"/>
    <n v="4.4800000000000004"/>
    <x v="4"/>
    <n v="0.88224000000000002"/>
    <n v="0.88339999999999996"/>
    <n v="0"/>
    <s v="2014,04,2409:00:25"/>
    <n v="0.88339999999999996"/>
    <x v="0"/>
    <m/>
    <m/>
    <n v="-588.27"/>
  </r>
  <r>
    <m/>
    <m/>
    <x v="1"/>
    <m/>
    <x v="1"/>
    <m/>
    <m/>
    <m/>
    <m/>
    <n v="8855"/>
    <x v="1"/>
    <n v="0"/>
    <n v="0"/>
    <m/>
  </r>
  <r>
    <n v="21104777"/>
    <s v="2014,04,2406:43:21"/>
    <x v="0"/>
    <n v="4.17"/>
    <x v="0"/>
    <n v="167950"/>
    <n v="167790"/>
    <n v="0"/>
    <s v="2014,04,2410:22:41"/>
    <n v="167790"/>
    <x v="0"/>
    <m/>
    <m/>
    <n v="-667.2"/>
  </r>
  <r>
    <m/>
    <m/>
    <x v="1"/>
    <m/>
    <x v="1"/>
    <m/>
    <m/>
    <m/>
    <m/>
    <n v="8855"/>
    <x v="1"/>
    <n v="0"/>
    <n v="-26.75"/>
    <m/>
  </r>
  <r>
    <n v="21094590"/>
    <s v="2014,04,2308:11:36"/>
    <x v="2"/>
    <n v="4.53"/>
    <x v="4"/>
    <n v="0.88244"/>
    <n v="0.88419999999999999"/>
    <n v="0"/>
    <s v="2014,04,2412:36:53"/>
    <n v="0.88419999999999999"/>
    <x v="2"/>
    <m/>
    <m/>
    <n v="-901.7"/>
  </r>
  <r>
    <m/>
    <m/>
    <x v="1"/>
    <m/>
    <x v="1"/>
    <m/>
    <m/>
    <m/>
    <m/>
    <n v="8855"/>
    <x v="1"/>
    <n v="0"/>
    <n v="0"/>
    <m/>
  </r>
  <r>
    <n v="21105557"/>
    <s v="2014,04,2408:00:09"/>
    <x v="0"/>
    <n v="3.03"/>
    <x v="2"/>
    <n v="0.82435000000000003"/>
    <n v="0.82220000000000004"/>
    <n v="0"/>
    <s v="2014,04,2412:59:04"/>
    <n v="0.82220000000000004"/>
    <x v="0"/>
    <m/>
    <m/>
    <n v="-1092.6500000000001"/>
  </r>
  <r>
    <m/>
    <m/>
    <x v="1"/>
    <m/>
    <x v="1"/>
    <m/>
    <m/>
    <m/>
    <m/>
    <n v="8855"/>
    <x v="1"/>
    <n v="0"/>
    <n v="0"/>
    <m/>
  </r>
  <r>
    <n v="21106841"/>
    <s v="2014,04,2410:23:13"/>
    <x v="2"/>
    <n v="4.3499999999999996"/>
    <x v="3"/>
    <n v="110204"/>
    <n v="110340"/>
    <n v="0"/>
    <s v="2014,04,2414:25:50"/>
    <n v="110340"/>
    <x v="0"/>
    <m/>
    <m/>
    <n v="-536.16"/>
  </r>
  <r>
    <m/>
    <m/>
    <x v="1"/>
    <m/>
    <x v="1"/>
    <m/>
    <m/>
    <m/>
    <m/>
    <n v="8855"/>
    <x v="1"/>
    <n v="0"/>
    <n v="0"/>
    <m/>
  </r>
  <r>
    <n v="21109309"/>
    <s v="2014,04,2412:59:06"/>
    <x v="2"/>
    <n v="3.95"/>
    <x v="2"/>
    <n v="0.82221999999999995"/>
    <n v="0.82379999999999998"/>
    <n v="0"/>
    <s v="2014,04,2421:00:00"/>
    <n v="0.82379999999999998"/>
    <x v="0"/>
    <m/>
    <m/>
    <n v="-1048.8900000000001"/>
  </r>
  <r>
    <m/>
    <m/>
    <x v="1"/>
    <m/>
    <x v="1"/>
    <m/>
    <m/>
    <m/>
    <m/>
    <n v="8855"/>
    <x v="1"/>
    <n v="0"/>
    <n v="-146.68"/>
    <m/>
  </r>
  <r>
    <n v="21091970"/>
    <s v="2014,04,2301:50:32"/>
    <x v="2"/>
    <n v="4.37"/>
    <x v="6"/>
    <n v="0.93052000000000001"/>
    <n v="0.92769999999999997"/>
    <n v="0"/>
    <s v="2014,04,2503:46:42"/>
    <n v="0.92769999999999997"/>
    <x v="2"/>
    <m/>
    <m/>
    <n v="1232.3399999999999"/>
  </r>
  <r>
    <m/>
    <m/>
    <x v="1"/>
    <m/>
    <x v="1"/>
    <m/>
    <m/>
    <m/>
    <m/>
    <n v="8855"/>
    <x v="1"/>
    <n v="0"/>
    <n v="0"/>
    <m/>
  </r>
  <r>
    <n v="21119374"/>
    <s v="2014,04,2508:30:05"/>
    <x v="2"/>
    <n v="5.19"/>
    <x v="2"/>
    <n v="0.82223000000000002"/>
    <n v="0.82340000000000002"/>
    <n v="0"/>
    <s v="2014,04,2508:32:31"/>
    <n v="0.82340000000000002"/>
    <x v="0"/>
    <m/>
    <m/>
    <n v="-1020.88"/>
  </r>
  <r>
    <m/>
    <m/>
    <x v="1"/>
    <m/>
    <x v="1"/>
    <m/>
    <m/>
    <m/>
    <m/>
    <n v="8855"/>
    <x v="1"/>
    <n v="0"/>
    <n v="0"/>
    <m/>
  </r>
  <r>
    <n v="21121141"/>
    <s v="2014,04,2511:12:22"/>
    <x v="0"/>
    <n v="2.4500000000000002"/>
    <x v="6"/>
    <n v="0.92935000000000001"/>
    <n v="0.92789999999999995"/>
    <n v="0"/>
    <s v="2014,04,2513:13:40"/>
    <n v="0.92789999999999995"/>
    <x v="0"/>
    <m/>
    <m/>
    <n v="-355.25"/>
  </r>
  <r>
    <m/>
    <m/>
    <x v="1"/>
    <m/>
    <x v="1"/>
    <m/>
    <m/>
    <m/>
    <m/>
    <n v="8855"/>
    <x v="1"/>
    <n v="0"/>
    <n v="0"/>
    <m/>
  </r>
  <r>
    <n v="21119388"/>
    <s v="2014,04,2508:30:16"/>
    <x v="0"/>
    <n v="5.42"/>
    <x v="0"/>
    <n v="168172"/>
    <n v="168070"/>
    <n v="0"/>
    <s v="2014,04,2514:56:13"/>
    <n v="168070"/>
    <x v="2"/>
    <m/>
    <m/>
    <n v="-552.84"/>
  </r>
  <r>
    <m/>
    <m/>
    <x v="1"/>
    <m/>
    <x v="1"/>
    <m/>
    <m/>
    <m/>
    <m/>
    <n v="8855"/>
    <x v="1"/>
    <n v="0"/>
    <n v="0"/>
    <m/>
  </r>
  <r>
    <n v="21121188"/>
    <s v="2014,04,2511:18:07"/>
    <x v="2"/>
    <n v="4.41"/>
    <x v="3"/>
    <n v="110184"/>
    <n v="110320"/>
    <n v="0"/>
    <s v="2014,04,2515:00:05"/>
    <n v="110320"/>
    <x v="0"/>
    <m/>
    <m/>
    <n v="-543.65"/>
  </r>
  <r>
    <m/>
    <m/>
    <x v="1"/>
    <m/>
    <x v="1"/>
    <m/>
    <m/>
    <m/>
    <m/>
    <n v="8855"/>
    <x v="1"/>
    <n v="0"/>
    <n v="0"/>
    <m/>
  </r>
  <r>
    <n v="21119402"/>
    <s v="2014,04,2508:30:40"/>
    <x v="0"/>
    <n v="3.11"/>
    <x v="0"/>
    <n v="168151"/>
    <n v="168040"/>
    <n v="0"/>
    <s v="2014,04,2515:29:55"/>
    <n v="168040"/>
    <x v="0"/>
    <m/>
    <m/>
    <n v="-345.21"/>
  </r>
  <r>
    <m/>
    <m/>
    <x v="1"/>
    <m/>
    <x v="1"/>
    <m/>
    <m/>
    <m/>
    <m/>
    <n v="8855"/>
    <x v="1"/>
    <n v="0"/>
    <n v="0"/>
    <m/>
  </r>
  <r>
    <n v="21119366"/>
    <s v="2014,04,2508:30:04"/>
    <x v="2"/>
    <n v="8.9600000000000009"/>
    <x v="2"/>
    <n v="0.82237000000000005"/>
    <n v="0.82379999999999998"/>
    <n v="0"/>
    <s v="2014,04,2516:23:07"/>
    <n v="0.82379999999999998"/>
    <x v="2"/>
    <m/>
    <m/>
    <n v="-2152.42"/>
  </r>
  <r>
    <m/>
    <m/>
    <x v="1"/>
    <m/>
    <x v="1"/>
    <m/>
    <m/>
    <m/>
    <m/>
    <n v="8855"/>
    <x v="1"/>
    <n v="0"/>
    <n v="-6.06"/>
    <m/>
  </r>
  <r>
    <n v="21119914"/>
    <s v="2014,04,2509:20:12"/>
    <x v="2"/>
    <n v="3.08"/>
    <x v="4"/>
    <n v="0.88021000000000005"/>
    <n v="0.88190000000000002"/>
    <n v="0"/>
    <s v="2014,04,2800:27:20"/>
    <n v="0.88190000000000002"/>
    <x v="0"/>
    <m/>
    <m/>
    <n v="-590.23"/>
  </r>
  <r>
    <m/>
    <m/>
    <x v="1"/>
    <m/>
    <x v="1"/>
    <m/>
    <m/>
    <m/>
    <m/>
    <n v="8855"/>
    <x v="1"/>
    <n v="0"/>
    <n v="0"/>
    <m/>
  </r>
  <r>
    <n v="21127635"/>
    <s v="2014,04,2800:19:49"/>
    <x v="0"/>
    <n v="3.58"/>
    <x v="2"/>
    <n v="0.82435000000000003"/>
    <n v="0.82279999999999998"/>
    <n v="0"/>
    <s v="2014,04,2806:14:22"/>
    <n v="0.82279999999999998"/>
    <x v="0"/>
    <m/>
    <m/>
    <n v="-931.96"/>
  </r>
  <r>
    <m/>
    <m/>
    <x v="1"/>
    <m/>
    <x v="1"/>
    <m/>
    <m/>
    <m/>
    <m/>
    <n v="8855"/>
    <x v="1"/>
    <n v="0"/>
    <n v="-13.37"/>
    <m/>
  </r>
  <r>
    <n v="21124515"/>
    <s v="2014,04,2516:04:08"/>
    <x v="0"/>
    <n v="2.21"/>
    <x v="3"/>
    <n v="110491"/>
    <n v="110260"/>
    <n v="0"/>
    <s v="2014,04,2806:26:34"/>
    <n v="110260"/>
    <x v="0"/>
    <m/>
    <m/>
    <n v="-463.01"/>
  </r>
  <r>
    <m/>
    <m/>
    <x v="1"/>
    <m/>
    <x v="1"/>
    <m/>
    <m/>
    <m/>
    <m/>
    <n v="8855"/>
    <x v="1"/>
    <n v="0"/>
    <n v="0"/>
    <m/>
  </r>
  <r>
    <n v="21129706"/>
    <s v="2014,04,2806:30:54"/>
    <x v="2"/>
    <n v="3.27"/>
    <x v="2"/>
    <n v="0.82223999999999997"/>
    <n v="0.82389999999999997"/>
    <n v="0"/>
    <s v="2014,04,2809:01:01"/>
    <n v="0.82389999999999997"/>
    <x v="0"/>
    <m/>
    <m/>
    <n v="-914.45"/>
  </r>
  <r>
    <m/>
    <m/>
    <x v="1"/>
    <m/>
    <x v="1"/>
    <m/>
    <m/>
    <m/>
    <m/>
    <n v="8855"/>
    <x v="4"/>
    <m/>
    <m/>
    <m/>
  </r>
  <r>
    <m/>
    <m/>
    <x v="1"/>
    <m/>
    <x v="1"/>
    <m/>
    <m/>
    <m/>
    <m/>
    <m/>
    <x v="4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3" cacheId="15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rowHeaderCaption="Moeda" colHeaderCaption="Periodo">
  <location ref="A3:F11" firstHeaderRow="1" firstDataRow="2" firstDataCol="1" rowPageCount="1" colPageCount="1"/>
  <pivotFields count="14">
    <pivotField showAll="0"/>
    <pivotField showAll="0"/>
    <pivotField axis="axisRow" showAll="0">
      <items count="5">
        <item m="1" x="3"/>
        <item x="0"/>
        <item x="2"/>
        <item x="1"/>
        <item t="default"/>
      </items>
    </pivotField>
    <pivotField showAll="0"/>
    <pivotField axis="axisRow" showAll="0">
      <items count="8">
        <item sd="0" x="6"/>
        <item sd="0" x="2"/>
        <item sd="0" x="5"/>
        <item sd="0" x="0"/>
        <item sd="0" x="3"/>
        <item sd="0" x="4"/>
        <item h="1" x="1"/>
        <item t="default"/>
      </items>
    </pivotField>
    <pivotField showAll="0"/>
    <pivotField showAll="0"/>
    <pivotField showAll="0"/>
    <pivotField showAll="0"/>
    <pivotField showAll="0"/>
    <pivotField axis="axisPage" showAll="0">
      <items count="6">
        <item x="1"/>
        <item n="H1" x="0"/>
        <item n="H4" x="2"/>
        <item n="D1" x="3"/>
        <item x="4"/>
        <item t="default"/>
      </items>
    </pivotField>
    <pivotField showAll="0"/>
    <pivotField showAll="0"/>
    <pivotField dataField="1" showAll="0"/>
  </pivotFields>
  <rowFields count="2">
    <field x="4"/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1">
    <pageField fld="10" item="1" hier="-1"/>
  </pageFields>
  <dataFields count="5">
    <dataField name="Trades" fld="13" subtotal="count" baseField="0" baseItem="0"/>
    <dataField name="Total Profit" fld="13" baseField="0" baseItem="0" numFmtId="44"/>
    <dataField name="Média" fld="13" subtotal="average" baseField="0" baseItem="0" numFmtId="44"/>
    <dataField name="DesvPad de Profit" fld="13" subtotal="stdDev" baseField="0" baseItem="0" numFmtId="44"/>
    <dataField name="Var de Profit" fld="13" subtotal="var" baseField="0" baseItem="0" numFmtId="44"/>
  </dataField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NC" displayName="NC" ref="A1:AK95" headerRowDxfId="355" dataDxfId="354" totalsRowDxfId="353">
  <autoFilter ref="A1:AK95">
    <filterColumn colId="36"/>
  </autoFilter>
  <sortState ref="A2:AJ89">
    <sortCondition ref="E1:E89"/>
  </sortState>
  <tableColumns count="37">
    <tableColumn id="19" name="ID" totalsRowFunction="max" dataDxfId="352" totalsRowDxfId="351"/>
    <tableColumn id="36" name="U" dataDxfId="350" totalsRowDxfId="349"/>
    <tableColumn id="2" name="ATIVO" dataDxfId="348" totalsRowDxfId="347"/>
    <tableColumn id="3" name="T" dataDxfId="346" totalsRowDxfId="345"/>
    <tableColumn id="4" name="DATA" dataDxfId="344" totalsRowDxfId="343"/>
    <tableColumn id="5" name="QTDE" dataDxfId="342" totalsRowDxfId="341"/>
    <tableColumn id="6" name="PREÇO" totalsRowFunction="custom" dataDxfId="340" totalsRowDxfId="339">
      <totalsRowFormula>NC[[#Totals],[ID]]*14.9</totalsRowFormula>
    </tableColumn>
    <tableColumn id="37" name="PARCIAL" dataDxfId="338" totalsRowDxfId="337"/>
    <tableColumn id="40" name="AJUSTE" dataDxfId="336" totalsRowDxfId="335"/>
    <tableColumn id="7" name="[D/N]" totalsRowFunction="custom" dataDxfId="334" totalsRowDxfId="333">
      <totalsRowFormula>NC[[#Totals],[LUCRO P/ OP]]+NC[[#Totals],[PREÇO]]</totalsRowFormula>
    </tableColumn>
    <tableColumn id="34" name="DATA DE LIQUIDAÇÃO" dataDxfId="332" totalsRowDxfId="331">
      <calculatedColumnFormula>WORKDAY(NC[[#This Row],[DATA]],1,0)</calculatedColumnFormula>
    </tableColumn>
    <tableColumn id="31" name="DATA BASE" dataDxfId="330" totalsRowDxfId="329">
      <calculatedColumnFormula>EOMONTH(NC[[#This Row],[DATA DE LIQUIDAÇÃO]],0)</calculatedColumnFormula>
    </tableColumn>
    <tableColumn id="21" name="PAR" dataDxfId="328" totalsRowDxfId="327">
      <calculatedColumnFormula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calculatedColumnFormula>
    </tableColumn>
    <tableColumn id="8" name="VALOR DAS OPERAÇÕES" dataDxfId="326" totalsRowDxfId="325">
      <calculatedColumnFormula>[QTDE]*[PREÇO]</calculatedColumnFormula>
    </tableColumn>
    <tableColumn id="9" name="VALOR LÍQUIDO DAS OPERAÇÕES" dataDxfId="324" totalsRowDxfId="323">
      <calculatedColumnFormula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calculatedColumnFormula>
    </tableColumn>
    <tableColumn id="10" name="TAXA DE LIQUIDAÇÃO" dataDxfId="322" totalsRowDxfId="321">
      <calculatedColumnFormula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calculatedColumnFormula>
    </tableColumn>
    <tableColumn id="11" name="EMOLUMENTOS" dataDxfId="320" totalsRowDxfId="319">
      <calculatedColumnFormula>TRUNC(SUMPRODUCT(N([DATA]=NC[[#This Row],[DATA]]),N([ID]&lt;=NC[[#This Row],[ID]]),N(['[D/N']]="N"),[VALOR DAS OPERAÇÕES]*SETUP!$A$7)  +  SUMPRODUCT(N([DATA]=NC[[#This Row],[DATA]]),N([ID]&lt;=NC[[#This Row],[ID]]),N(['[D/N']]="D"),[VALOR DAS OPERAÇÕES]*SETUP!$D$7),    2)</calculatedColumnFormula>
    </tableColumn>
    <tableColumn id="28" name="TAXA DE REGISTRO" dataDxfId="318" totalsRowDxfId="317">
      <calculatedColumnFormula>TRUNC(SUMPRODUCT(N([DATA]=NC[[#This Row],[DATA]]),N([ID]&lt;=NC[[#This Row],[ID]]),N(['[D/N']]="N"),[VALOR DAS OPERAÇÕES]*SETUP!$C$7)  +  SUMPRODUCT(N([DATA]=NC[[#This Row],[DATA]]),N([ID]&lt;=NC[[#This Row],[ID]]),N(['[D/N']]="D"),[VALOR DAS OPERAÇÕES]*SETUP!$F$7),2)</calculatedColumnFormula>
    </tableColumn>
    <tableColumn id="38" name="CORR" dataDxfId="316" totalsRowDxfId="315">
      <calculatedColumnFormula>SETUP!$E$3 * IF([PARCIAL] &gt; 0, [QTDE] / [PARCIAL], 1)</calculatedColumnFormula>
    </tableColumn>
    <tableColumn id="12" name="CORRETAGEM" dataDxfId="314" totalsRowDxfId="313">
      <calculatedColumnFormula>SUMPRODUCT(N([DATA]=NC[[#This Row],[DATA]]),N([ID]&lt;=NC[[#This Row],[ID]]), [CORR])</calculatedColumnFormula>
    </tableColumn>
    <tableColumn id="13" name="ISS" dataDxfId="312" totalsRowDxfId="311">
      <calculatedColumnFormula>TRUNC([CORRETAGEM]*SETUP!$F$3,2)</calculatedColumnFormula>
    </tableColumn>
    <tableColumn id="15" name="OUTRAS BOVESPA" dataDxfId="310" totalsRowDxfId="309">
      <calculatedColumnFormula>ROUND([CORRETAGEM]*SETUP!$G$3,2)</calculatedColumnFormula>
    </tableColumn>
    <tableColumn id="16" name="LÍQUIDO BASE" dataDxfId="308" totalsRowDxfId="307">
      <calculatedColumnFormula>[VALOR LÍQUIDO DAS OPERAÇÕES]-[TAXA DE LIQUIDAÇÃO]-[EMOLUMENTOS]-[TAXA DE REGISTRO]-[CORRETAGEM]-[ISS]-IF(['[D/N']]="D",    0,    [OUTRAS BOVESPA]) - [AJUSTE]</calculatedColumnFormula>
    </tableColumn>
    <tableColumn id="33" name="IRRF FONTE" dataDxfId="306" totalsRowDxfId="305">
      <calculatedColumnFormula>IF(AND(['[D/N']]="D",    [T]="CV",    [LÍQUIDO BASE] &gt; 0),    TRUNC([LÍQUIDO BASE]*0.01, 2),    0)</calculatedColumnFormula>
    </tableColumn>
    <tableColumn id="35" name="LÍQUIDO" dataDxfId="304" totalsRowDxfId="303">
      <calculatedColumnFormula>IF([PREÇO] &gt; 0,    [LÍQUIDO BASE]-SUMPRODUCT(N([DATA]=NC[[#This Row],[DATA]]),    [IRRF FONTE]),    0)</calculatedColumnFormula>
    </tableColumn>
    <tableColumn id="17" name="VALOR OP" dataDxfId="302" totalsRowDxfId="301">
      <calculatedColumnFormula>[LÍQUIDO]-SUMPRODUCT(N([DATA]=NC[[#This Row],[DATA]]),N([ID]=(NC[[#This Row],[ID]]-1)),[LÍQUIDO])</calculatedColumnFormula>
    </tableColumn>
    <tableColumn id="18" name="MEDIO P/ OP" dataDxfId="300" totalsRowDxfId="299">
      <calculatedColumnFormula>IF([T] = "VC", ABS([VALOR OP]) / [QTDE], [VALOR OP]/[QTDE])</calculatedColumnFormula>
    </tableColumn>
    <tableColumn id="20" name="IRRF" totalsRowFunction="sum" dataDxfId="298" totalsRowDxfId="297">
      <calculatedColumnFormula>TRUNC(IF(OR([T]="CV",[T]="VV"),     N2*SETUP!$H$3,     0),2)</calculatedColumnFormula>
    </tableColumn>
    <tableColumn id="24" name="SALDO" dataDxfId="296" totalsRowDxfId="295">
      <calculatedColumnFormula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calculatedColumnFormula>
    </tableColumn>
    <tableColumn id="22" name="MED CP" dataDxfId="294" totalsRowDxfId="293">
      <calculatedColumnFormula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calculatedColumnFormula>
    </tableColumn>
    <tableColumn id="23" name="MED VD" dataDxfId="292" totalsRowDxfId="291">
      <calculatedColumnFormula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calculatedColumnFormula>
    </tableColumn>
    <tableColumn id="44" name="LUCRO TMP" dataDxfId="290" totalsRowDxfId="289">
      <calculatedColumnFormula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calculatedColumnFormula>
    </tableColumn>
    <tableColumn id="25" name="LUCRO P/ OP" totalsRowFunction="sum" dataDxfId="288" totalsRowDxfId="287">
      <calculatedColumnFormula>IF([LUCRO TMP] &lt;&gt; 0, [LUCRO TMP] - SUMPRODUCT(N([ATIVO]=NC[[#This Row],[ATIVO]]),N(['[D/N']]="N"),N([ID]&lt;NC[[#This Row],[ID]]),N([PAR]=NC[[#This Row],[PAR]]), [LUCRO TMP]), 0)</calculatedColumnFormula>
    </tableColumn>
    <tableColumn id="1" name="LUCRO [N]" dataDxfId="286" totalsRowDxfId="285">
      <calculatedColumnFormula>IF([U] = "U", SUMPRODUCT(N([ID]&lt;=NC[[#This Row],[ID]]),N([DATA BASE]=NC[[#This Row],[DATA BASE]]), N(['[D/N']] = "N"),    [LUCRO P/ OP]), 0)</calculatedColumnFormula>
    </tableColumn>
    <tableColumn id="39" name="LUCRO [D]" dataDxfId="284" totalsRowDxfId="283">
      <calculatedColumnFormula>IF([U] = "U", SUMPRODUCT(N([DATA BASE]=NC[[#This Row],[DATA BASE]]), N(['[D/N']] = "D"),    [LUCRO P/ OP]), 0)</calculatedColumnFormula>
    </tableColumn>
    <tableColumn id="30" name="IRRF DT" dataDxfId="282" totalsRowDxfId="281">
      <calculatedColumnFormula>IF([U] = "U", SUMPRODUCT(N([DATA BASE]=NC[[#This Row],[DATA BASE]]), N(['[D/N']] = "D"),    [IRRF FONTE]), 0)</calculatedColumnFormula>
    </tableColumn>
    <tableColumn id="14" name="Colunas1" dataDxfId="280" totalsRowDxfId="279" dataCellStyle="Separador de milhares">
      <calculatedColumnFormula>NC[[#This Row],[LÍQUIDO]]/NC[[#This Row],[QTDE]]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8" name="NOTAS_80" displayName="NOTAS_80" ref="A1:AK62" totalsRowCount="1" headerRowDxfId="278" dataDxfId="277" totalsRowDxfId="276">
  <autoFilter ref="A1:AK61"/>
  <sortState ref="A2:AK61">
    <sortCondition ref="E1:E61"/>
  </sortState>
  <tableColumns count="37">
    <tableColumn id="19" name="ID" totalsRowFunction="max" dataDxfId="275" totalsRowDxfId="274"/>
    <tableColumn id="36" name="U" dataDxfId="273" totalsRowDxfId="272"/>
    <tableColumn id="2" name="ATIVO" dataDxfId="271" totalsRowDxfId="270"/>
    <tableColumn id="3" name="T" dataDxfId="269" totalsRowDxfId="268"/>
    <tableColumn id="4" name="DATA" dataDxfId="267" totalsRowDxfId="266"/>
    <tableColumn id="5" name="QTDE" dataDxfId="265" totalsRowDxfId="264"/>
    <tableColumn id="6" name="PREÇO" dataDxfId="263" totalsRowDxfId="262"/>
    <tableColumn id="37" name="PARCIAL" dataDxfId="261" totalsRowDxfId="260"/>
    <tableColumn id="40" name="AJUSTE" dataDxfId="259" totalsRowDxfId="258"/>
    <tableColumn id="7" name="[D/N]" dataDxfId="257" totalsRowDxfId="256"/>
    <tableColumn id="34" name="DATA DE LIQUIDAÇÃO" dataDxfId="255" totalsRowDxfId="254">
      <calculatedColumnFormula>WORKDAY(NOTAS_80[[#This Row],[DATA]],1,0)</calculatedColumnFormula>
    </tableColumn>
    <tableColumn id="31" name="DATA BASE" dataDxfId="253" totalsRowDxfId="252">
      <calculatedColumnFormula>EOMONTH(NOTAS_80[[#This Row],[DATA DE LIQUIDAÇÃO]],0)</calculatedColumnFormula>
    </tableColumn>
    <tableColumn id="21" name="PAR" dataDxfId="251" totalsRowDxfId="250">
      <calculatedColumnFormula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calculatedColumnFormula>
    </tableColumn>
    <tableColumn id="8" name="VALOR DAS OPERAÇÕES" dataDxfId="249" totalsRowDxfId="248">
      <calculatedColumnFormula>[QTDE]*[PREÇO]</calculatedColumnFormula>
    </tableColumn>
    <tableColumn id="9" name="VALOR LÍQUIDO DAS OPERAÇÕES" dataDxfId="247" totalsRowDxfId="246">
      <calculatedColumnFormula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calculatedColumnFormula>
    </tableColumn>
    <tableColumn id="10" name="TAXA DE LIQUIDAÇÃO" dataDxfId="245" totalsRowDxfId="244">
      <calculatedColumnFormula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calculatedColumnFormula>
    </tableColumn>
    <tableColumn id="11" name="EMOLUMENTOS" dataDxfId="243" totalsRowDxfId="242">
      <calculatedColumnFormula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calculatedColumnFormula>
    </tableColumn>
    <tableColumn id="28" name="TAXA DE REGISTRO" dataDxfId="241" totalsRowDxfId="240">
      <calculatedColumnFormula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calculatedColumnFormula>
    </tableColumn>
    <tableColumn id="14" name="CORR BOV" dataDxfId="239" totalsRowDxfId="238">
      <calculatedColumnFormula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calculatedColumnFormula>
    </tableColumn>
    <tableColumn id="38" name="CORR" dataDxfId="237" totalsRowDxfId="236">
      <calculatedColumnFormula>TRUNC([CORR BOV] * 20% * IF([PARCIAL] &gt; 0, [QTDE] / [PARCIAL], 1),2)</calculatedColumnFormula>
    </tableColumn>
    <tableColumn id="12" name="CORRETAGEM" dataDxfId="235" totalsRowDxfId="234">
      <calculatedColumnFormula>SUMPRODUCT(N([DATA]=NOTAS_80[[#This Row],[DATA]]),N([ID]&lt;=NOTAS_80[[#This Row],[ID]]), [CORR])</calculatedColumnFormula>
    </tableColumn>
    <tableColumn id="13" name="ISS" dataDxfId="233" totalsRowDxfId="232">
      <calculatedColumnFormula>TRUNC([CORRETAGEM]*SETUP!$F$3,2)</calculatedColumnFormula>
    </tableColumn>
    <tableColumn id="15" name="OUTRAS BOVESPA" dataDxfId="231" totalsRowDxfId="230">
      <calculatedColumnFormula>ROUND([CORRETAGEM]*SETUP!$G$3,2)</calculatedColumnFormula>
    </tableColumn>
    <tableColumn id="16" name="LÍQUIDO BASE" dataDxfId="229" totalsRowDxfId="228">
      <calculatedColumnFormula>[VALOR LÍQUIDO DAS OPERAÇÕES]-[TAXA DE LIQUIDAÇÃO]-[EMOLUMENTOS]-[TAXA DE REGISTRO]-[CORRETAGEM]-[ISS]-IF(['[D/N']]="D",    0,    [OUTRAS BOVESPA]) - [AJUSTE]</calculatedColumnFormula>
    </tableColumn>
    <tableColumn id="33" name="IRRF FONTE" dataDxfId="227" totalsRowDxfId="226">
      <calculatedColumnFormula>IF(AND(['[D/N']]="D",    [T]="CV",    [LÍQUIDO BASE] &gt; 0),    TRUNC([LÍQUIDO BASE]*0.01, 2),    0)</calculatedColumnFormula>
    </tableColumn>
    <tableColumn id="35" name="LÍQUIDO" dataDxfId="225" totalsRowDxfId="224">
      <calculatedColumnFormula>IF([PREÇO] &gt; 0,    [LÍQUIDO BASE]-SUMPRODUCT(N([DATA]=NOTAS_80[[#This Row],[DATA]]),    [IRRF FONTE]),    0)</calculatedColumnFormula>
    </tableColumn>
    <tableColumn id="17" name="VALOR OP" dataDxfId="223" totalsRowDxfId="222">
      <calculatedColumnFormula>[LÍQUIDO]-SUMPRODUCT(N([DATA]=NOTAS_80[[#This Row],[DATA]]),N([ID]=(NOTAS_80[[#This Row],[ID]]-1)),[LÍQUIDO])</calculatedColumnFormula>
    </tableColumn>
    <tableColumn id="18" name="MEDIO P/ OP" dataDxfId="221" totalsRowDxfId="220">
      <calculatedColumnFormula>IF([T] = "VC", ABS([VALOR OP]) / [QTDE], [VALOR OP]/[QTDE])</calculatedColumnFormula>
    </tableColumn>
    <tableColumn id="20" name="IRRF" totalsRowFunction="sum" dataDxfId="219" totalsRowDxfId="218">
      <calculatedColumnFormula>TRUNC(IF(OR([T]="CV",[T]="VV"),     N2*SETUP!$H$3,     0),2)</calculatedColumnFormula>
    </tableColumn>
    <tableColumn id="24" name="SALDO" dataDxfId="217" totalsRowDxfId="216">
      <calculatedColumnFormula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calculatedColumnFormula>
    </tableColumn>
    <tableColumn id="22" name="MED CP" dataDxfId="215" totalsRowDxfId="214">
      <calculatedColumnFormula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calculatedColumnFormula>
    </tableColumn>
    <tableColumn id="23" name="MED VD" dataDxfId="213" totalsRowDxfId="212">
      <calculatedColumnFormula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calculatedColumnFormula>
    </tableColumn>
    <tableColumn id="44" name="LUCRO TMP" dataDxfId="211" totalsRowDxfId="210">
      <calculatedColumnFormula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calculatedColumnFormula>
    </tableColumn>
    <tableColumn id="25" name="LUCRO P/ OP" totalsRowFunction="sum" dataDxfId="209" totalsRowDxfId="208">
      <calculatedColumnFormula>IF([LUCRO TMP] &lt;&gt; 0, [LUCRO TMP] - SUMPRODUCT(N([ATIVO]=NOTAS_80[[#This Row],[ATIVO]]),N(['[D/N']]="N"),N([ID]&lt;NOTAS_80[[#This Row],[ID]]),N([PAR]=NOTAS_80[[#This Row],[PAR]]), [LUCRO TMP]), 0)</calculatedColumnFormula>
    </tableColumn>
    <tableColumn id="1" name="LUCRO [N]" dataDxfId="207" totalsRowDxfId="206">
      <calculatedColumnFormula>IF([U] = "U", SUMPRODUCT(N([ID]&lt;=NOTAS_80[[#This Row],[ID]]),N([DATA BASE]=NOTAS_80[[#This Row],[DATA BASE]]), N(['[D/N']] = "N"),    [LUCRO P/ OP]), 0)</calculatedColumnFormula>
    </tableColumn>
    <tableColumn id="39" name="LUCRO [D]" dataDxfId="205" totalsRowDxfId="204">
      <calculatedColumnFormula>IF([U] = "U", SUMPRODUCT(N([DATA BASE]=NOTAS_80[[#This Row],[DATA BASE]]), N(['[D/N']] = "D"),    [LUCRO P/ OP]), 0)</calculatedColumnFormula>
    </tableColumn>
    <tableColumn id="30" name="IRRF DT" dataDxfId="203" totalsRowDxfId="202">
      <calculatedColumnFormula>IF([U] = "U", SUMPRODUCT(N([DATA BASE]=NOTAS_80[[#This Row],[DATA BASE]]), N(['[D/N']] = "D"),    [IRRF FONTE]), 0)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7" name="Tabela7" displayName="Tabela7" ref="A1:N6" totalsRowCount="1" headerRowDxfId="201" dataDxfId="200">
  <autoFilter ref="A1:N5"/>
  <tableColumns count="14">
    <tableColumn id="1" name="DATA" totalsRowLabel="Total" dataDxfId="199" totalsRowDxfId="198"/>
    <tableColumn id="2" name="LUCRO [N]" dataDxfId="197" totalsRowDxfId="196"/>
    <tableColumn id="3" name="DEDUÇÃO [N]" dataDxfId="195" totalsRowDxfId="194"/>
    <tableColumn id="8" name="IRRF [N]" dataDxfId="193" totalsRowDxfId="192"/>
    <tableColumn id="4" name="LUCRO [D]" dataDxfId="191" totalsRowDxfId="190"/>
    <tableColumn id="5" name="DEDUÇÃO [D]" dataDxfId="189" totalsRowDxfId="188"/>
    <tableColumn id="9" name="IRRF [D]" dataDxfId="187" totalsRowDxfId="186"/>
    <tableColumn id="6" name="ACC [N]" dataDxfId="185" totalsRowDxfId="184">
      <calculatedColumnFormula>IF([LUCRO '[N']] + [DEDUÇÃO '[N']] &gt; 0, 0, [LUCRO '[N']] + [DEDUÇÃO '[N']])</calculatedColumnFormula>
    </tableColumn>
    <tableColumn id="12" name="ACC [D]" dataDxfId="183" totalsRowDxfId="182">
      <calculatedColumnFormula>IF([LUCRO '[D']] + [DEDUÇÃO '[D']] &gt; 0, 0, [LUCRO '[D']] + [DEDUÇÃO '[D']])</calculatedColumnFormula>
    </tableColumn>
    <tableColumn id="7" name="IR DEVIDO [N]" dataDxfId="181" totalsRowDxfId="180">
      <calculatedColumnFormula>IF([ACC '[N']] = 0, ROUND(([LUCRO '[N']] + [DEDUÇÃO '[N']]) * 15%, 2) - [IRRF '[N']], 0)</calculatedColumnFormula>
    </tableColumn>
    <tableColumn id="10" name="IR DEVIDO [D]" dataDxfId="179" totalsRowDxfId="178">
      <calculatedColumnFormula>IF([ACC '[D']] = 0, ROUND(([LUCRO '[D']] + [DEDUÇÃO '[D']]) * 20%, 2) - [IRRF '[D']], 0)</calculatedColumnFormula>
    </tableColumn>
    <tableColumn id="14" name="IRRF" dataDxfId="177" totalsRowDxfId="176">
      <calculatedColumnFormula>[IRRF '[N']] + [IRRF '[D']]</calculatedColumnFormula>
    </tableColumn>
    <tableColumn id="11" name="IR DEVIDO" dataDxfId="175" totalsRowDxfId="174">
      <calculatedColumnFormula>[IR DEVIDO '[N']] + [IR DEVIDO '[D']]</calculatedColumnFormula>
    </tableColumn>
    <tableColumn id="13" name="LUCRO TOTAL" totalsRowFunction="sum" dataDxfId="173" totalsRowDxfId="172">
      <calculatedColumnFormula>[LUCRO '[N']] + [LUCRO '[D']] - [IR DEVIDO] - [IRRF '[N']] - [IRRF '[D']]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" name="Tabela2" displayName="Tabela2" ref="A1:K5" headerRowDxfId="171" dataDxfId="170">
  <autoFilter ref="A1:K5"/>
  <sortState ref="A2:K4">
    <sortCondition ref="C1:C4"/>
  </sortState>
  <tableColumns count="11">
    <tableColumn id="1" name="PAPEL" totalsRowLabel="Total" dataDxfId="169" totalsRowDxfId="168"/>
    <tableColumn id="10" name="APLICAÇÃO" dataDxfId="167" totalsRowDxfId="166">
      <calculatedColumnFormula>950</calculatedColumnFormula>
    </tableColumn>
    <tableColumn id="2" name="EXERCÍCIO" dataDxfId="165" totalsRowDxfId="164"/>
    <tableColumn id="3" name="PREÇO OPÇÃO" dataDxfId="163" totalsRowDxfId="162"/>
    <tableColumn id="4" name="PREÇO AÇÃO" dataDxfId="161" totalsRowDxfId="160"/>
    <tableColumn id="11" name="QTDE TMP" dataDxfId="159" totalsRowDxfId="158">
      <calculatedColumnFormula>ROUNDDOWN([APLICAÇÃO]/[PREÇO OPÇÃO], 0)</calculatedColumnFormula>
    </tableColumn>
    <tableColumn id="14" name="QTDE" dataDxfId="157" totalsRowDxfId="156">
      <calculatedColumnFormula>[QTDE TMP] - MOD([QTDE TMP], 100)</calculatedColumnFormula>
    </tableColumn>
    <tableColumn id="5" name="TARGET 100%" dataDxfId="155" totalsRowDxfId="154" dataCellStyle="Moeda">
      <calculatedColumnFormula>[EXERCÍCIO] + ([PREÇO OPÇÃO] * 2)</calculatedColumnFormula>
    </tableColumn>
    <tableColumn id="6" name="ALTA 100%" dataDxfId="153" totalsRowDxfId="152">
      <calculatedColumnFormula>[TARGET 100%] / [PREÇO AÇÃO] - 1</calculatedColumnFormula>
    </tableColumn>
    <tableColumn id="12" name="LUCRO* 100%" dataDxfId="151" totalsRowDxfId="150">
      <calculatedColumnFormula>[PREÇO OPÇÃO] * [QTDE]</calculatedColumnFormula>
    </tableColumn>
    <tableColumn id="7" name="GORDURA" dataDxfId="149" totalsRowDxfId="148">
      <calculatedColumnFormula>IF([PREÇO AÇÃO] &gt; [EXERCÍCIO], [PREÇO OPÇÃO] -([PREÇO AÇÃO] - [EXERCÍCIO]), [PREÇO OPÇÃO])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3" name="Tabela24" displayName="Tabela24" ref="A1:P5" totalsRowCount="1" headerRowDxfId="147" dataDxfId="146">
  <autoFilter ref="A1:P4"/>
  <tableColumns count="16">
    <tableColumn id="1" name="PAPEL" totalsRowLabel="Total" dataDxfId="145" totalsRowDxfId="144"/>
    <tableColumn id="10" name="RISCO" dataDxfId="143" totalsRowDxfId="142"/>
    <tableColumn id="20" name="PREÇO AÇÃO" dataDxfId="141" totalsRowDxfId="140"/>
    <tableColumn id="7" name="EXERC. VENDA" dataDxfId="139" totalsRowDxfId="138"/>
    <tableColumn id="8" name="PREÇO VENDA" dataDxfId="137" totalsRowDxfId="136"/>
    <tableColumn id="2" name="EXERC. COMPRA" dataDxfId="135" totalsRowDxfId="134"/>
    <tableColumn id="3" name="PREÇO COMPRA" dataDxfId="133" totalsRowDxfId="132"/>
    <tableColumn id="4" name="VOLUME" dataDxfId="131" totalsRowDxfId="130">
      <calculatedColumnFormula>([QTDE] * [PREÇO COMPRA]) + ([QTDE] * [PREÇO VENDA])</calculatedColumnFormula>
    </tableColumn>
    <tableColumn id="18" name="LUCRO P/ OPÇÃO" dataDxfId="129" totalsRowDxfId="128">
      <calculatedColumnFormula>[PREÇO VENDA]-[PREÇO COMPRA]</calculatedColumnFormula>
    </tableColumn>
    <tableColumn id="19" name="PERDA P/ OPÇÃO" dataDxfId="127" totalsRowDxfId="126">
      <calculatedColumnFormula>(0.01 - [PREÇO COMPRA]) + ([PREÇO VENDA] - ([EXERC. COMPRA]-[EXERC. VENDA]+0.01))</calculatedColumnFormula>
    </tableColumn>
    <tableColumn id="11" name="QTDE TMP" dataDxfId="125" totalsRowDxfId="124">
      <calculatedColumnFormula>ROUNDDOWN([RISCO]/ABS([PERDA P/ OPÇÃO]), 0)</calculatedColumnFormula>
    </tableColumn>
    <tableColumn id="14" name="QTDE" dataDxfId="123" totalsRowDxfId="122">
      <calculatedColumnFormula>[QTDE TMP] - MOD([QTDE TMP], 100)</calculatedColumnFormula>
    </tableColumn>
    <tableColumn id="5" name="LUCRO*" dataDxfId="121" totalsRowDxfId="120">
      <calculatedColumnFormula>([QTDE]*[LUCRO P/ OPÇÃO])-32</calculatedColumnFormula>
    </tableColumn>
    <tableColumn id="6" name="PERDA*" dataDxfId="119" totalsRowDxfId="118">
      <calculatedColumnFormula>[QTDE]*[PERDA P/ OPÇÃO]-32</calculatedColumnFormula>
    </tableColumn>
    <tableColumn id="21" name="% QUEDA" dataDxfId="117" totalsRowDxfId="116">
      <calculatedColumnFormula>[EXERC. VENDA]/[PREÇO AÇÃO]-1</calculatedColumnFormula>
    </tableColumn>
    <tableColumn id="22" name="RISCO : 1" dataDxfId="115" totalsRowDxfId="114">
      <calculatedColumnFormula>[LUCRO*]/ABS([PERDA*])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5" name="Tabela246" displayName="Tabela246" ref="A1:O3" headerRowDxfId="113" dataDxfId="112">
  <autoFilter ref="A1:O3"/>
  <tableColumns count="15">
    <tableColumn id="1" name="PAPEL" totalsRowLabel="Total" dataDxfId="111" totalsRowDxfId="110"/>
    <tableColumn id="10" name="RISCO" dataDxfId="109" totalsRowDxfId="108"/>
    <tableColumn id="20" name="PREÇO AÇÃO" dataDxfId="107" totalsRowDxfId="106"/>
    <tableColumn id="7" name="EX. VENDA" dataDxfId="105" totalsRowDxfId="104"/>
    <tableColumn id="2" name="EX. COMPRA" dataDxfId="103" totalsRowDxfId="102" dataCellStyle="Moeda"/>
    <tableColumn id="3" name="PR Venda" dataDxfId="101" totalsRowDxfId="100" dataCellStyle="Moeda"/>
    <tableColumn id="16" name="QTDE" dataDxfId="99" totalsRowDxfId="98"/>
    <tableColumn id="13" name="PERDA P/ OPÇÃO" dataDxfId="97" totalsRowDxfId="96">
      <calculatedColumnFormula>([RISCO])/[QTDE]</calculatedColumnFormula>
    </tableColumn>
    <tableColumn id="14" name="Volume" dataDxfId="95" totalsRowDxfId="94">
      <calculatedColumnFormula>[PR Venda] * [QTDE]+[QTDE]*[PR Compra]</calculatedColumnFormula>
    </tableColumn>
    <tableColumn id="15" name="LUCRO UNI" dataDxfId="93" totalsRowDxfId="92">
      <calculatedColumnFormula>[PR Venda]-[PR Compra]</calculatedColumnFormula>
    </tableColumn>
    <tableColumn id="8" name="PR Compra" dataDxfId="91" totalsRowDxfId="90">
      <calculatedColumnFormula>(-[PERDA P/ OPÇÃO] + ([EX. COMPRA] - [EX. VENDA] + 0.01) - 0.01 -[PR Venda])*-1</calculatedColumnFormula>
    </tableColumn>
    <tableColumn id="5" name="LUCRO" dataDxfId="89" totalsRowDxfId="88">
      <calculatedColumnFormula>([QTDE]*[LUCRO UNI])-64</calculatedColumnFormula>
    </tableColumn>
    <tableColumn id="6" name="PERDA" dataDxfId="87" totalsRowDxfId="86">
      <calculatedColumnFormula>-[PERDA P/ OPÇÃO]*[QTDE]-64</calculatedColumnFormula>
    </tableColumn>
    <tableColumn id="21" name="% QUEDA" dataDxfId="85" totalsRowDxfId="84">
      <calculatedColumnFormula>[EX. VENDA]/[PREÇO AÇÃO]-1</calculatedColumnFormula>
    </tableColumn>
    <tableColumn id="22" name="RISCO : 1" dataDxfId="83" totalsRowDxfId="82">
      <calculatedColumnFormula>[LUCRO]/ABS([PERDA])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4" name="Tabela245" displayName="Tabela245" ref="A1:U3" totalsRowCount="1" headerRowDxfId="81" dataDxfId="80">
  <autoFilter ref="A1:U2"/>
  <tableColumns count="21">
    <tableColumn id="1" name="PAPEL" totalsRowLabel="Total" dataDxfId="79" totalsRowDxfId="78"/>
    <tableColumn id="10" name="BASE" dataDxfId="77" totalsRowDxfId="76"/>
    <tableColumn id="20" name="PR. AÇÃO" dataDxfId="75" totalsRowDxfId="74"/>
    <tableColumn id="2" name="EX. CP 1" dataDxfId="73" totalsRowDxfId="72"/>
    <tableColumn id="3" name="PR CP 1" dataDxfId="71" totalsRowDxfId="70"/>
    <tableColumn id="12" name="EX. VD" dataDxfId="69" totalsRowDxfId="68"/>
    <tableColumn id="13" name="PR VD" dataDxfId="67" totalsRowDxfId="66"/>
    <tableColumn id="8" name="EX. CP 2" dataDxfId="65" totalsRowDxfId="64"/>
    <tableColumn id="7" name="PR CP 2" dataDxfId="63" totalsRowDxfId="62"/>
    <tableColumn id="18" name="LUCRO UNI." dataDxfId="61" totalsRowDxfId="60">
      <calculatedColumnFormula>(([PR VD] - 0.01) * 2) + (([EX. VD] - [EX. CP 1] + 0.01) - [PR CP 1]) + (0.01 - [PR CP 2])</calculatedColumnFormula>
    </tableColumn>
    <tableColumn id="19" name="PERDA 1" dataDxfId="59" totalsRowDxfId="58">
      <calculatedColumnFormula>(0.01 - [PR CP 1]) + (([PR VD] - 0.01) * 2) + (0.01 - [PR CP 2])</calculatedColumnFormula>
    </tableColumn>
    <tableColumn id="15" name="PERDA 2" dataDxfId="57" totalsRowDxfId="56">
      <calculatedColumnFormula>(([EX. CP 2] - [EX. CP 1] + 0.01) - [PR CP 1]) + (([PR VD] - ([EX. CP 2] - [EX. VD] + 0.01)) * 2) + (0.01 - [PR CP 2])</calculatedColumnFormula>
    </tableColumn>
    <tableColumn id="16" name="PERDA" dataDxfId="55" totalsRowDxfId="54">
      <calculatedColumnFormula>IF([PERDA 1] &gt; [PERDA 2], [PERDA 2], [PERDA 1])</calculatedColumnFormula>
    </tableColumn>
    <tableColumn id="11" name="QTDE TMP" dataDxfId="53" totalsRowDxfId="52">
      <calculatedColumnFormula>ROUNDDOWN([BASE]/ABS([PERDA]), 0)</calculatedColumnFormula>
    </tableColumn>
    <tableColumn id="14" name="QTDE" dataDxfId="51" totalsRowDxfId="50">
      <calculatedColumnFormula>[QTDE TMP] - MOD([QTDE TMP], 100)</calculatedColumnFormula>
    </tableColumn>
    <tableColumn id="4" name="QTDE VD" dataDxfId="49" totalsRowDxfId="48">
      <calculatedColumnFormula>Tabela245[[#This Row],[QTDE]]*2</calculatedColumnFormula>
    </tableColumn>
    <tableColumn id="17" name="VOLUME" dataDxfId="47" totalsRowDxfId="46">
      <calculatedColumnFormula>([QTDE]*[PR CP 1] + [QTDE]*[PR CP 2])+[QTDE]*[PR VD] * 2</calculatedColumnFormula>
    </tableColumn>
    <tableColumn id="5" name="LUCRO" dataDxfId="45" totalsRowDxfId="44">
      <calculatedColumnFormula>([QTDE]*[LUCRO UNI.])-48</calculatedColumnFormula>
    </tableColumn>
    <tableColumn id="6" name="PERDA2" dataDxfId="43" totalsRowDxfId="42">
      <calculatedColumnFormula>[QTDE]*[PERDA]-48</calculatedColumnFormula>
    </tableColumn>
    <tableColumn id="21" name="% VAR" dataDxfId="41" totalsRowDxfId="40">
      <calculatedColumnFormula>[EX. VD] / [PR. AÇÃO] - 1</calculatedColumnFormula>
    </tableColumn>
    <tableColumn id="22" name="RISCO : 1" dataDxfId="39" totalsRowDxfId="38">
      <calculatedColumnFormula>[LUCRO]/ABS([PERDA2])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6" name="Tabela2467" displayName="Tabela2467" ref="A1:O6" totalsRowCount="1" headerRowDxfId="37" dataDxfId="36">
  <autoFilter ref="A1:O5"/>
  <tableColumns count="15">
    <tableColumn id="1" name="PAPEL" totalsRowLabel="Total" dataDxfId="35" totalsRowDxfId="34"/>
    <tableColumn id="10" name="RISCO" dataDxfId="33" totalsRowDxfId="32"/>
    <tableColumn id="20" name="PREÇO AÇÃO" dataDxfId="31" totalsRowDxfId="30"/>
    <tableColumn id="7" name="EX. VENDA" dataDxfId="29" totalsRowDxfId="28"/>
    <tableColumn id="2" name="EX. COMPRA" dataDxfId="27" totalsRowDxfId="26"/>
    <tableColumn id="9" name="PR VENDA" totalsRowDxfId="25"/>
    <tableColumn id="3" name="PR COMPRA" dataDxfId="24" totalsRowDxfId="23"/>
    <tableColumn id="16" name="QTDE" dataDxfId="22" totalsRowDxfId="21"/>
    <tableColumn id="13" name="PERDA P/ OPÇÃO" dataDxfId="20" totalsRowDxfId="19">
      <calculatedColumnFormula>([PR VENDA] - ([EX. COMPRA] - [EX. VENDA] + 0.01)) + (0.01 - ([PR COMPRA]))</calculatedColumnFormula>
    </tableColumn>
    <tableColumn id="14" name="VOLUME" dataDxfId="18" totalsRowDxfId="17">
      <calculatedColumnFormula>[PR COMPRA] * [QTDE]</calculatedColumnFormula>
    </tableColumn>
    <tableColumn id="15" name="LUCRO UNI" dataDxfId="16" totalsRowDxfId="15">
      <calculatedColumnFormula>[PR VENDA]-[PR COMPRA]</calculatedColumnFormula>
    </tableColumn>
    <tableColumn id="5" name="LUCRO*" dataDxfId="14" totalsRowDxfId="13">
      <calculatedColumnFormula>([QTDE]*[LUCRO UNI])</calculatedColumnFormula>
    </tableColumn>
    <tableColumn id="6" name="PERDA*" dataDxfId="12" totalsRowDxfId="11">
      <calculatedColumnFormula>[PERDA P/ OPÇÃO]*[QTDE]</calculatedColumnFormula>
    </tableColumn>
    <tableColumn id="21" name="% QUEDA" dataDxfId="10" totalsRowDxfId="9">
      <calculatedColumnFormula>[EX. VENDA]/[PREÇO AÇÃO]-1</calculatedColumnFormula>
    </tableColumn>
    <tableColumn id="22" name="RISCO : 1" dataDxfId="8" totalsRowDxfId="7">
      <calculatedColumnFormula>[LUCRO*]/ABS([PERDA*])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0" name="Tabela9" displayName="Tabela9" ref="A1:N120" totalsRowShown="0" headerRowDxfId="4" headerRowBorderDxfId="5" tableBorderDxfId="6">
  <autoFilter ref="A1:N120"/>
  <tableColumns count="14">
    <tableColumn id="1" name="Ticket"/>
    <tableColumn id="2" name="OpenTime"/>
    <tableColumn id="3" name="Type"/>
    <tableColumn id="4" name="Size"/>
    <tableColumn id="5" name="Item"/>
    <tableColumn id="6" name="Price"/>
    <tableColumn id="7" name="S/L"/>
    <tableColumn id="8" name="T/P"/>
    <tableColumn id="9" name="CloseTime"/>
    <tableColumn id="10" name="Price2"/>
    <tableColumn id="11" name="Commission"/>
    <tableColumn id="12" name="Taxes"/>
    <tableColumn id="13" name="Swap"/>
    <tableColumn id="14" name="Profi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Plan2"/>
  <dimension ref="A1:AK99"/>
  <sheetViews>
    <sheetView workbookViewId="0">
      <pane xSplit="10" ySplit="1" topLeftCell="K77" activePane="bottomRight" state="frozen"/>
      <selection pane="topRight" activeCell="K1" sqref="K1"/>
      <selection pane="bottomLeft" activeCell="A2" sqref="A2"/>
      <selection pane="bottomRight" activeCell="F98" sqref="F98"/>
    </sheetView>
  </sheetViews>
  <sheetFormatPr defaultColWidth="11.5703125" defaultRowHeight="11.25"/>
  <cols>
    <col min="1" max="1" width="4.7109375" style="7" bestFit="1" customWidth="1"/>
    <col min="2" max="2" width="4.28515625" style="7" bestFit="1" customWidth="1"/>
    <col min="3" max="3" width="7.42578125" style="7" bestFit="1" customWidth="1"/>
    <col min="4" max="4" width="4" style="7" bestFit="1" customWidth="1"/>
    <col min="5" max="5" width="7.28515625" style="7" bestFit="1" customWidth="1"/>
    <col min="6" max="6" width="7" style="7" bestFit="1" customWidth="1"/>
    <col min="7" max="7" width="8.5703125" style="7" bestFit="1" customWidth="1"/>
    <col min="8" max="8" width="8.85546875" style="60" bestFit="1" customWidth="1"/>
    <col min="9" max="9" width="8.7109375" style="25" bestFit="1" customWidth="1"/>
    <col min="10" max="10" width="7" style="7" bestFit="1" customWidth="1"/>
    <col min="11" max="11" width="10.5703125" style="8" hidden="1" customWidth="1"/>
    <col min="12" max="12" width="6" style="7" hidden="1" customWidth="1"/>
    <col min="13" max="13" width="19" style="9" hidden="1" customWidth="1"/>
    <col min="14" max="14" width="25.28515625" style="7" hidden="1" customWidth="1"/>
    <col min="15" max="15" width="17.85546875" style="8" hidden="1" customWidth="1"/>
    <col min="16" max="16" width="13.7109375" style="8" hidden="1" customWidth="1"/>
    <col min="17" max="17" width="15.5703125" style="7" hidden="1" customWidth="1"/>
    <col min="18" max="18" width="7.7109375" style="7" hidden="1" customWidth="1"/>
    <col min="19" max="19" width="12.28515625" style="7" hidden="1" customWidth="1"/>
    <col min="20" max="20" width="15" style="7" hidden="1" customWidth="1"/>
    <col min="21" max="21" width="12.5703125" style="7" hidden="1" customWidth="1"/>
    <col min="22" max="22" width="10.42578125" style="7" hidden="1" customWidth="1"/>
    <col min="23" max="23" width="12.42578125" style="7" bestFit="1" customWidth="1"/>
    <col min="24" max="24" width="10.42578125" style="7" bestFit="1" customWidth="1"/>
    <col min="25" max="26" width="11.5703125" style="7" bestFit="1" customWidth="1"/>
    <col min="27" max="27" width="9.85546875" style="7" hidden="1" customWidth="1"/>
    <col min="28" max="28" width="11.140625" style="7" customWidth="1"/>
    <col min="29" max="29" width="8.5703125" style="7" hidden="1" customWidth="1"/>
    <col min="30" max="30" width="10.85546875" style="25" hidden="1" customWidth="1"/>
    <col min="31" max="31" width="11.7109375" style="7" hidden="1" customWidth="1"/>
    <col min="32" max="32" width="11.5703125" style="7" hidden="1" customWidth="1"/>
    <col min="33" max="33" width="11.5703125" style="7" bestFit="1" customWidth="1"/>
    <col min="34" max="35" width="10" style="7" bestFit="1" customWidth="1"/>
    <col min="36" max="36" width="8" style="7" bestFit="1" customWidth="1"/>
    <col min="37" max="37" width="10.85546875" style="144" bestFit="1" customWidth="1"/>
    <col min="38" max="16384" width="11.5703125" style="7"/>
  </cols>
  <sheetData>
    <row r="1" spans="1:37" s="10" customFormat="1">
      <c r="A1" s="10" t="s">
        <v>17</v>
      </c>
      <c r="B1" s="10" t="s">
        <v>49</v>
      </c>
      <c r="C1" s="10" t="s">
        <v>0</v>
      </c>
      <c r="D1" s="10" t="s">
        <v>46</v>
      </c>
      <c r="E1" s="10" t="s">
        <v>16</v>
      </c>
      <c r="F1" s="10" t="s">
        <v>1</v>
      </c>
      <c r="G1" s="10" t="s">
        <v>2</v>
      </c>
      <c r="H1" s="77" t="s">
        <v>129</v>
      </c>
      <c r="I1" s="36" t="s">
        <v>128</v>
      </c>
      <c r="J1" s="10" t="s">
        <v>3</v>
      </c>
      <c r="K1" s="10" t="s">
        <v>39</v>
      </c>
      <c r="L1" s="10" t="s">
        <v>40</v>
      </c>
      <c r="M1" s="10" t="s">
        <v>21</v>
      </c>
      <c r="N1" s="10" t="s">
        <v>33</v>
      </c>
      <c r="O1" s="10" t="s">
        <v>34</v>
      </c>
      <c r="P1" s="11" t="s">
        <v>35</v>
      </c>
      <c r="Q1" s="10" t="s">
        <v>36</v>
      </c>
      <c r="R1" s="10" t="s">
        <v>37</v>
      </c>
      <c r="S1" s="10" t="s">
        <v>127</v>
      </c>
      <c r="T1" s="12" t="s">
        <v>9</v>
      </c>
      <c r="U1" s="10" t="s">
        <v>4</v>
      </c>
      <c r="V1" s="12" t="s">
        <v>38</v>
      </c>
      <c r="W1" s="10" t="s">
        <v>32</v>
      </c>
      <c r="X1" s="12" t="s">
        <v>44</v>
      </c>
      <c r="Y1" s="12" t="s">
        <v>5</v>
      </c>
      <c r="Z1" s="10" t="s">
        <v>101</v>
      </c>
      <c r="AA1" s="10" t="s">
        <v>41</v>
      </c>
      <c r="AB1" s="10" t="s">
        <v>18</v>
      </c>
      <c r="AC1" s="10" t="s">
        <v>22</v>
      </c>
      <c r="AD1" s="10" t="s">
        <v>19</v>
      </c>
      <c r="AE1" s="10" t="s">
        <v>20</v>
      </c>
      <c r="AF1" s="36" t="s">
        <v>68</v>
      </c>
      <c r="AG1" s="10" t="s">
        <v>47</v>
      </c>
      <c r="AH1" s="10" t="s">
        <v>53</v>
      </c>
      <c r="AI1" s="10" t="s">
        <v>117</v>
      </c>
      <c r="AJ1" s="10" t="s">
        <v>126</v>
      </c>
      <c r="AK1" s="142" t="s">
        <v>178</v>
      </c>
    </row>
    <row r="2" spans="1:37" ht="11.25" customHeight="1">
      <c r="A2" s="13">
        <v>1</v>
      </c>
      <c r="B2" s="13"/>
      <c r="C2" s="13" t="s">
        <v>28</v>
      </c>
      <c r="D2" s="13" t="s">
        <v>24</v>
      </c>
      <c r="E2" s="14">
        <v>40980</v>
      </c>
      <c r="F2" s="13">
        <v>600</v>
      </c>
      <c r="G2" s="15">
        <v>0.28000000000000003</v>
      </c>
      <c r="H2" s="78"/>
      <c r="I2" s="19"/>
      <c r="J2" s="13" t="s">
        <v>6</v>
      </c>
      <c r="K2" s="14">
        <f>WORKDAY(NC[[#This Row],[DATA]],1,0)</f>
        <v>40981</v>
      </c>
      <c r="L2" s="21">
        <f>EOMONTH(NC[[#This Row],[DATA DE LIQUIDAÇÃO]],0)</f>
        <v>40999</v>
      </c>
      <c r="M2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2" s="15">
        <f>[QTDE]*[PREÇO]</f>
        <v>168.00000000000003</v>
      </c>
      <c r="O2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-168.00000000000003</v>
      </c>
      <c r="P2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0.04</v>
      </c>
      <c r="Q2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0.06</v>
      </c>
      <c r="R2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0.11</v>
      </c>
      <c r="S2" s="15">
        <f>SETUP!$E$3 * IF([PARCIAL] &gt; 0, [QTDE] / [PARCIAL], 1)</f>
        <v>14.9</v>
      </c>
      <c r="T2" s="15">
        <f>SUMPRODUCT(N([DATA]=NC[[#This Row],[DATA]]),N([ID]&lt;=NC[[#This Row],[ID]]), [CORR])</f>
        <v>14.9</v>
      </c>
      <c r="U2" s="15">
        <f>TRUNC([CORRETAGEM]*SETUP!$F$3,2)</f>
        <v>0.28999999999999998</v>
      </c>
      <c r="V2" s="15">
        <f>ROUND([CORRETAGEM]*SETUP!$G$3,2)</f>
        <v>0.57999999999999996</v>
      </c>
      <c r="W2" s="15">
        <f>[VALOR LÍQUIDO DAS OPERAÇÕES]-[TAXA DE LIQUIDAÇÃO]-[EMOLUMENTOS]-[TAXA DE REGISTRO]-[CORRETAGEM]-[ISS]-IF(['[D/N']]="D",    0,    [OUTRAS BOVESPA]) - [AJUSTE]</f>
        <v>-183.98000000000005</v>
      </c>
      <c r="X2" s="15">
        <f>IF(AND(['[D/N']]="D",    [T]="CV",    [LÍQUIDO BASE] &gt; 0),    TRUNC([LÍQUIDO BASE]*0.01, 2),    0)</f>
        <v>0</v>
      </c>
      <c r="Y2" s="15">
        <f>IF([PREÇO] &gt; 0,    [LÍQUIDO BASE]-SUMPRODUCT(N([DATA]=NC[[#This Row],[DATA]]),    [IRRF FONTE]),    0)</f>
        <v>-183.98000000000005</v>
      </c>
      <c r="Z2" s="15">
        <f>[LÍQUIDO]-SUMPRODUCT(N([DATA]=NC[[#This Row],[DATA]]),N([ID]=(NC[[#This Row],[ID]]-1)),[LÍQUIDO])</f>
        <v>-183.98000000000005</v>
      </c>
      <c r="AA2" s="15">
        <f>IF([T] = "VC", ABS([VALOR OP]) / [QTDE], [VALOR OP]/[QTDE])</f>
        <v>-0.30663333333333342</v>
      </c>
      <c r="AB2" s="15">
        <f>TRUNC(IF(OR([T]="CV",[T]="VV"),     N2*SETUP!$H$3,     0),2)</f>
        <v>0</v>
      </c>
      <c r="AC2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600</v>
      </c>
      <c r="AD2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0.30663333333333342</v>
      </c>
      <c r="AE2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2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2" s="15">
        <f>IF([LUCRO TMP] &lt;&gt; 0, [LUCRO TMP] - SUMPRODUCT(N([ATIVO]=NC[[#This Row],[ATIVO]]),N(['[D/N']]="N"),N([ID]&lt;NC[[#This Row],[ID]]),N([PAR]=NC[[#This Row],[PAR]]), [LUCRO TMP]), 0)</f>
        <v>0</v>
      </c>
      <c r="AH2" s="15">
        <f>IF([U] = "U", SUMPRODUCT(N([ID]&lt;=NC[[#This Row],[ID]]),N([DATA BASE]=NC[[#This Row],[DATA BASE]]), N(['[D/N']] = "N"),    [LUCRO P/ OP]), 0)</f>
        <v>0</v>
      </c>
      <c r="AI2" s="15">
        <f>IF([U] = "U", SUMPRODUCT(N([DATA BASE]=NC[[#This Row],[DATA BASE]]), N(['[D/N']] = "D"),    [LUCRO P/ OP]), 0)</f>
        <v>0</v>
      </c>
      <c r="AJ2" s="15">
        <f>IF([U] = "U", SUMPRODUCT(N([DATA BASE]=NC[[#This Row],[DATA BASE]]), N(['[D/N']] = "D"),    [IRRF FONTE]), 0)</f>
        <v>0</v>
      </c>
      <c r="AK2" s="143">
        <f>NC[[#This Row],[LÍQUIDO]]/NC[[#This Row],[QTDE]]</f>
        <v>-0.30663333333333342</v>
      </c>
    </row>
    <row r="3" spans="1:37" ht="11.25" customHeight="1">
      <c r="A3" s="13">
        <v>2</v>
      </c>
      <c r="B3" s="13"/>
      <c r="C3" s="13" t="s">
        <v>29</v>
      </c>
      <c r="D3" s="13" t="s">
        <v>24</v>
      </c>
      <c r="E3" s="14">
        <v>40980</v>
      </c>
      <c r="F3" s="13">
        <v>400</v>
      </c>
      <c r="G3" s="15">
        <v>0.4</v>
      </c>
      <c r="H3" s="78"/>
      <c r="I3" s="19"/>
      <c r="J3" s="13" t="s">
        <v>6</v>
      </c>
      <c r="K3" s="14">
        <f>WORKDAY(NC[[#This Row],[DATA]],1,0)</f>
        <v>40981</v>
      </c>
      <c r="L3" s="21">
        <f>EOMONTH(NC[[#This Row],[DATA DE LIQUIDAÇÃO]],0)</f>
        <v>40999</v>
      </c>
      <c r="M3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" s="15">
        <f>[QTDE]*[PREÇO]</f>
        <v>160</v>
      </c>
      <c r="O3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-328</v>
      </c>
      <c r="P3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0.09</v>
      </c>
      <c r="Q3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0.12</v>
      </c>
      <c r="R3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0.22</v>
      </c>
      <c r="S3" s="15">
        <f>SETUP!$E$3 * IF([PARCIAL] &gt; 0, [QTDE] / [PARCIAL], 1)</f>
        <v>14.9</v>
      </c>
      <c r="T3" s="15">
        <f>SUMPRODUCT(N([DATA]=NC[[#This Row],[DATA]]),N([ID]&lt;=NC[[#This Row],[ID]]), [CORR])</f>
        <v>29.8</v>
      </c>
      <c r="U3" s="15">
        <f>TRUNC([CORRETAGEM]*SETUP!$F$3,2)</f>
        <v>0.59</v>
      </c>
      <c r="V3" s="15">
        <f>ROUND([CORRETAGEM]*SETUP!$G$3,2)</f>
        <v>1.1599999999999999</v>
      </c>
      <c r="W3" s="15">
        <f>[VALOR LÍQUIDO DAS OPERAÇÕES]-[TAXA DE LIQUIDAÇÃO]-[EMOLUMENTOS]-[TAXA DE REGISTRO]-[CORRETAGEM]-[ISS]-IF(['[D/N']]="D",    0,    [OUTRAS BOVESPA]) - [AJUSTE]</f>
        <v>-359.98</v>
      </c>
      <c r="X3" s="15">
        <f>IF(AND(['[D/N']]="D",    [T]="CV",    [LÍQUIDO BASE] &gt; 0),    TRUNC([LÍQUIDO BASE]*0.01, 2),    0)</f>
        <v>0</v>
      </c>
      <c r="Y3" s="15">
        <f>IF([PREÇO] &gt; 0,    [LÍQUIDO BASE]-SUMPRODUCT(N([DATA]=NC[[#This Row],[DATA]]),    [IRRF FONTE]),    0)</f>
        <v>-359.98</v>
      </c>
      <c r="Z3" s="15">
        <f>[LÍQUIDO]-SUMPRODUCT(N([DATA]=NC[[#This Row],[DATA]]),N([ID]=(NC[[#This Row],[ID]]-1)),[LÍQUIDO])</f>
        <v>-175.99999999999997</v>
      </c>
      <c r="AA3" s="15">
        <f>IF([T] = "VC", ABS([VALOR OP]) / [QTDE], [VALOR OP]/[QTDE])</f>
        <v>-0.43999999999999995</v>
      </c>
      <c r="AB3" s="15">
        <f>TRUNC(IF(OR([T]="CV",[T]="VV"),     N3*SETUP!$H$3,     0),2)</f>
        <v>0</v>
      </c>
      <c r="AC3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400</v>
      </c>
      <c r="AD3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0.43999999999999995</v>
      </c>
      <c r="AE3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3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3" s="15">
        <f>IF([LUCRO TMP] &lt;&gt; 0, [LUCRO TMP] - SUMPRODUCT(N([ATIVO]=NC[[#This Row],[ATIVO]]),N(['[D/N']]="N"),N([ID]&lt;NC[[#This Row],[ID]]),N([PAR]=NC[[#This Row],[PAR]]), [LUCRO TMP]), 0)</f>
        <v>0</v>
      </c>
      <c r="AH3" s="15">
        <f>IF([U] = "U", SUMPRODUCT(N([ID]&lt;=NC[[#This Row],[ID]]),N([DATA BASE]=NC[[#This Row],[DATA BASE]]), N(['[D/N']] = "N"),    [LUCRO P/ OP]), 0)</f>
        <v>0</v>
      </c>
      <c r="AI3" s="15">
        <f>IF([U] = "U", SUMPRODUCT(N([DATA BASE]=NC[[#This Row],[DATA BASE]]), N(['[D/N']] = "D"),    [LUCRO P/ OP]), 0)</f>
        <v>0</v>
      </c>
      <c r="AJ3" s="15">
        <f>IF([U] = "U", SUMPRODUCT(N([DATA BASE]=NC[[#This Row],[DATA BASE]]), N(['[D/N']] = "D"),    [IRRF FONTE]), 0)</f>
        <v>0</v>
      </c>
      <c r="AK3" s="143">
        <f>NC[[#This Row],[LÍQUIDO]]/NC[[#This Row],[QTDE]]</f>
        <v>-0.89995000000000003</v>
      </c>
    </row>
    <row r="4" spans="1:37" ht="11.25" customHeight="1">
      <c r="A4" s="13">
        <v>3</v>
      </c>
      <c r="B4" s="13"/>
      <c r="C4" s="13" t="s">
        <v>30</v>
      </c>
      <c r="D4" s="13" t="s">
        <v>24</v>
      </c>
      <c r="E4" s="14">
        <v>40981</v>
      </c>
      <c r="F4" s="13">
        <v>1200</v>
      </c>
      <c r="G4" s="15">
        <v>0.19</v>
      </c>
      <c r="H4" s="78"/>
      <c r="I4" s="19"/>
      <c r="J4" s="13" t="s">
        <v>14</v>
      </c>
      <c r="K4" s="14">
        <f>WORKDAY(NC[[#This Row],[DATA]],1,0)</f>
        <v>40982</v>
      </c>
      <c r="L4" s="21">
        <f>EOMONTH(NC[[#This Row],[DATA DE LIQUIDAÇÃO]],0)</f>
        <v>40999</v>
      </c>
      <c r="M4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4" s="15">
        <f>[QTDE]*[PREÇO]</f>
        <v>228</v>
      </c>
      <c r="O4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-228</v>
      </c>
      <c r="P4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0.04</v>
      </c>
      <c r="Q4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0.02</v>
      </c>
      <c r="R4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0.03</v>
      </c>
      <c r="S4" s="15">
        <f>SETUP!$E$3 * IF([PARCIAL] &gt; 0, [QTDE] / [PARCIAL], 1)</f>
        <v>14.9</v>
      </c>
      <c r="T4" s="15">
        <f>SUMPRODUCT(N([DATA]=NC[[#This Row],[DATA]]),N([ID]&lt;=NC[[#This Row],[ID]]), [CORR])</f>
        <v>14.9</v>
      </c>
      <c r="U4" s="15">
        <f>TRUNC([CORRETAGEM]*SETUP!$F$3,2)</f>
        <v>0.28999999999999998</v>
      </c>
      <c r="V4" s="15">
        <f>ROUND([CORRETAGEM]*SETUP!$G$3,2)</f>
        <v>0.57999999999999996</v>
      </c>
      <c r="W4" s="15">
        <f>[VALOR LÍQUIDO DAS OPERAÇÕES]-[TAXA DE LIQUIDAÇÃO]-[EMOLUMENTOS]-[TAXA DE REGISTRO]-[CORRETAGEM]-[ISS]-IF(['[D/N']]="D",    0,    [OUTRAS BOVESPA]) - [AJUSTE]</f>
        <v>-243.28</v>
      </c>
      <c r="X4" s="15">
        <f>IF(AND(['[D/N']]="D",    [T]="CV",    [LÍQUIDO BASE] &gt; 0),    TRUNC([LÍQUIDO BASE]*0.01, 2),    0)</f>
        <v>0</v>
      </c>
      <c r="Y4" s="15">
        <f>IF([PREÇO] &gt; 0,    [LÍQUIDO BASE]-SUMPRODUCT(N([DATA]=NC[[#This Row],[DATA]]),    [IRRF FONTE]),    0)</f>
        <v>-245.25</v>
      </c>
      <c r="Z4" s="15">
        <f>[LÍQUIDO]-SUMPRODUCT(N([DATA]=NC[[#This Row],[DATA]]),N([ID]=(NC[[#This Row],[ID]]-1)),[LÍQUIDO])</f>
        <v>-245.25</v>
      </c>
      <c r="AA4" s="15">
        <f>IF([T] = "VC", ABS([VALOR OP]) / [QTDE], [VALOR OP]/[QTDE])</f>
        <v>-0.204375</v>
      </c>
      <c r="AB4" s="15">
        <f>TRUNC(IF(OR([T]="CV",[T]="VV"),     N4*SETUP!$H$3,     0),2)</f>
        <v>0</v>
      </c>
      <c r="AC4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4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0.204375</v>
      </c>
      <c r="AE4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4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4" s="15">
        <f>IF([LUCRO TMP] &lt;&gt; 0, [LUCRO TMP] - SUMPRODUCT(N([ATIVO]=NC[[#This Row],[ATIVO]]),N(['[D/N']]="N"),N([ID]&lt;NC[[#This Row],[ID]]),N([PAR]=NC[[#This Row],[PAR]]), [LUCRO TMP]), 0)</f>
        <v>0</v>
      </c>
      <c r="AH4" s="15">
        <f>IF([U] = "U", SUMPRODUCT(N([ID]&lt;=NC[[#This Row],[ID]]),N([DATA BASE]=NC[[#This Row],[DATA BASE]]), N(['[D/N']] = "N"),    [LUCRO P/ OP]), 0)</f>
        <v>0</v>
      </c>
      <c r="AI4" s="15">
        <f>IF([U] = "U", SUMPRODUCT(N([DATA BASE]=NC[[#This Row],[DATA BASE]]), N(['[D/N']] = "D"),    [LUCRO P/ OP]), 0)</f>
        <v>0</v>
      </c>
      <c r="AJ4" s="15">
        <f>IF([U] = "U", SUMPRODUCT(N([DATA BASE]=NC[[#This Row],[DATA BASE]]), N(['[D/N']] = "D"),    [IRRF FONTE]), 0)</f>
        <v>0</v>
      </c>
      <c r="AK4" s="143">
        <f>NC[[#This Row],[LÍQUIDO]]/NC[[#This Row],[QTDE]]</f>
        <v>-0.204375</v>
      </c>
    </row>
    <row r="5" spans="1:37" ht="11.25" customHeight="1">
      <c r="A5" s="13">
        <v>4</v>
      </c>
      <c r="B5" s="13"/>
      <c r="C5" s="13" t="s">
        <v>30</v>
      </c>
      <c r="D5" s="13" t="s">
        <v>25</v>
      </c>
      <c r="E5" s="14">
        <v>40981</v>
      </c>
      <c r="F5" s="13">
        <v>1200</v>
      </c>
      <c r="G5" s="15">
        <v>0.38</v>
      </c>
      <c r="H5" s="78"/>
      <c r="I5" s="19"/>
      <c r="J5" s="13" t="s">
        <v>14</v>
      </c>
      <c r="K5" s="14">
        <f>WORKDAY(NC[[#This Row],[DATA]],1,0)</f>
        <v>40982</v>
      </c>
      <c r="L5" s="21">
        <f>EOMONTH(NC[[#This Row],[DATA DE LIQUIDAÇÃO]],0)</f>
        <v>40999</v>
      </c>
      <c r="M5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5" s="15">
        <f>[QTDE]*[PREÇO]</f>
        <v>456</v>
      </c>
      <c r="O5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228</v>
      </c>
      <c r="P5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0.12</v>
      </c>
      <c r="Q5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0.08</v>
      </c>
      <c r="R5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</v>
      </c>
      <c r="S5" s="15">
        <f>SETUP!$E$3 * IF([PARCIAL] &gt; 0, [QTDE] / [PARCIAL], 1)</f>
        <v>14.9</v>
      </c>
      <c r="T5" s="15">
        <f>SUMPRODUCT(N([DATA]=NC[[#This Row],[DATA]]),N([ID]&lt;=NC[[#This Row],[ID]]), [CORR])</f>
        <v>29.8</v>
      </c>
      <c r="U5" s="15">
        <f>TRUNC([CORRETAGEM]*SETUP!$F$3,2)</f>
        <v>0.59</v>
      </c>
      <c r="V5" s="15">
        <f>ROUND([CORRETAGEM]*SETUP!$G$3,2)</f>
        <v>1.1599999999999999</v>
      </c>
      <c r="W5" s="15">
        <f>[VALOR LÍQUIDO DAS OPERAÇÕES]-[TAXA DE LIQUIDAÇÃO]-[EMOLUMENTOS]-[TAXA DE REGISTRO]-[CORRETAGEM]-[ISS]-IF(['[D/N']]="D",    0,    [OUTRAS BOVESPA]) - [AJUSTE]</f>
        <v>197.30999999999997</v>
      </c>
      <c r="X5" s="15">
        <f>IF(AND(['[D/N']]="D",    [T]="CV",    [LÍQUIDO BASE] &gt; 0),    TRUNC([LÍQUIDO BASE]*0.01, 2),    0)</f>
        <v>1.97</v>
      </c>
      <c r="Y5" s="15">
        <f>IF([PREÇO] &gt; 0,    [LÍQUIDO BASE]-SUMPRODUCT(N([DATA]=NC[[#This Row],[DATA]]),    [IRRF FONTE]),    0)</f>
        <v>195.33999999999997</v>
      </c>
      <c r="Z5" s="15">
        <f>[LÍQUIDO]-SUMPRODUCT(N([DATA]=NC[[#This Row],[DATA]]),N([ID]=(NC[[#This Row],[ID]]-1)),[LÍQUIDO])</f>
        <v>440.59</v>
      </c>
      <c r="AA5" s="15">
        <f>IF([T] = "VC", ABS([VALOR OP]) / [QTDE], [VALOR OP]/[QTDE])</f>
        <v>0.36715833333333331</v>
      </c>
      <c r="AB5" s="15">
        <f>TRUNC(IF(OR([T]="CV",[T]="VV"),     N5*SETUP!$H$3,     0),2)</f>
        <v>0.02</v>
      </c>
      <c r="AC5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5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0.204375</v>
      </c>
      <c r="AE5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0.36715833333333331</v>
      </c>
      <c r="AF5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197.30999999999997</v>
      </c>
      <c r="AG5" s="15">
        <f>IF([LUCRO TMP] &lt;&gt; 0, [LUCRO TMP] - SUMPRODUCT(N([ATIVO]=NC[[#This Row],[ATIVO]]),N(['[D/N']]="N"),N([ID]&lt;NC[[#This Row],[ID]]),N([PAR]=NC[[#This Row],[PAR]]), [LUCRO TMP]), 0)</f>
        <v>197.30999999999997</v>
      </c>
      <c r="AH5" s="15">
        <f>IF([U] = "U", SUMPRODUCT(N([ID]&lt;=NC[[#This Row],[ID]]),N([DATA BASE]=NC[[#This Row],[DATA BASE]]), N(['[D/N']] = "N"),    [LUCRO P/ OP]), 0)</f>
        <v>0</v>
      </c>
      <c r="AI5" s="15">
        <f>IF([U] = "U", SUMPRODUCT(N([DATA BASE]=NC[[#This Row],[DATA BASE]]), N(['[D/N']] = "D"),    [LUCRO P/ OP]), 0)</f>
        <v>0</v>
      </c>
      <c r="AJ5" s="15">
        <f>IF([U] = "U", SUMPRODUCT(N([DATA BASE]=NC[[#This Row],[DATA BASE]]), N(['[D/N']] = "D"),    [IRRF FONTE]), 0)</f>
        <v>0</v>
      </c>
      <c r="AK5" s="143">
        <f>NC[[#This Row],[LÍQUIDO]]/NC[[#This Row],[QTDE]]</f>
        <v>0.16278333333333331</v>
      </c>
    </row>
    <row r="6" spans="1:37" ht="11.25" customHeight="1">
      <c r="A6" s="13">
        <v>5</v>
      </c>
      <c r="B6" s="13"/>
      <c r="C6" s="13" t="s">
        <v>29</v>
      </c>
      <c r="D6" s="13" t="s">
        <v>25</v>
      </c>
      <c r="E6" s="14">
        <v>40981</v>
      </c>
      <c r="F6" s="13">
        <v>400</v>
      </c>
      <c r="G6" s="15">
        <v>0.8</v>
      </c>
      <c r="H6" s="78"/>
      <c r="I6" s="19"/>
      <c r="J6" s="13" t="s">
        <v>6</v>
      </c>
      <c r="K6" s="14">
        <f>WORKDAY(NC[[#This Row],[DATA]],1,0)</f>
        <v>40982</v>
      </c>
      <c r="L6" s="21">
        <f>EOMONTH(NC[[#This Row],[DATA DE LIQUIDAÇÃO]],0)</f>
        <v>40999</v>
      </c>
      <c r="M6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6" s="15">
        <f>[QTDE]*[PREÇO]</f>
        <v>320</v>
      </c>
      <c r="O6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548</v>
      </c>
      <c r="P6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0.21</v>
      </c>
      <c r="Q6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</v>
      </c>
      <c r="R6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0.32</v>
      </c>
      <c r="S6" s="15">
        <f>SETUP!$E$3 * IF([PARCIAL] &gt; 0, [QTDE] / [PARCIAL], 1)</f>
        <v>14.9</v>
      </c>
      <c r="T6" s="15">
        <f>SUMPRODUCT(N([DATA]=NC[[#This Row],[DATA]]),N([ID]&lt;=NC[[#This Row],[ID]]), [CORR])</f>
        <v>44.7</v>
      </c>
      <c r="U6" s="15">
        <f>TRUNC([CORRETAGEM]*SETUP!$F$3,2)</f>
        <v>0.89</v>
      </c>
      <c r="V6" s="15">
        <f>ROUND([CORRETAGEM]*SETUP!$G$3,2)</f>
        <v>1.74</v>
      </c>
      <c r="W6" s="15">
        <f>[VALOR LÍQUIDO DAS OPERAÇÕES]-[TAXA DE LIQUIDAÇÃO]-[EMOLUMENTOS]-[TAXA DE REGISTRO]-[CORRETAGEM]-[ISS]-IF(['[D/N']]="D",    0,    [OUTRAS BOVESPA]) - [AJUSTE]</f>
        <v>499.93999999999988</v>
      </c>
      <c r="X6" s="15">
        <f>IF(AND(['[D/N']]="D",    [T]="CV",    [LÍQUIDO BASE] &gt; 0),    TRUNC([LÍQUIDO BASE]*0.01, 2),    0)</f>
        <v>0</v>
      </c>
      <c r="Y6" s="15">
        <f>IF([PREÇO] &gt; 0,    [LÍQUIDO BASE]-SUMPRODUCT(N([DATA]=NC[[#This Row],[DATA]]),    [IRRF FONTE]),    0)</f>
        <v>497.96999999999986</v>
      </c>
      <c r="Z6" s="15">
        <f>[LÍQUIDO]-SUMPRODUCT(N([DATA]=NC[[#This Row],[DATA]]),N([ID]=(NC[[#This Row],[ID]]-1)),[LÍQUIDO])</f>
        <v>302.62999999999988</v>
      </c>
      <c r="AA6" s="15">
        <f>IF([T] = "VC", ABS([VALOR OP]) / [QTDE], [VALOR OP]/[QTDE])</f>
        <v>0.75657499999999966</v>
      </c>
      <c r="AB6" s="15">
        <f>TRUNC(IF(OR([T]="CV",[T]="VV"),     N6*SETUP!$H$3,     0),2)</f>
        <v>0.01</v>
      </c>
      <c r="AC6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6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0.43999999999999995</v>
      </c>
      <c r="AE6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0.75657499999999966</v>
      </c>
      <c r="AF6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126.62999999999988</v>
      </c>
      <c r="AG6" s="15">
        <f>IF([LUCRO TMP] &lt;&gt; 0, [LUCRO TMP] - SUMPRODUCT(N([ATIVO]=NC[[#This Row],[ATIVO]]),N(['[D/N']]="N"),N([ID]&lt;NC[[#This Row],[ID]]),N([PAR]=NC[[#This Row],[PAR]]), [LUCRO TMP]), 0)</f>
        <v>126.62999999999988</v>
      </c>
      <c r="AH6" s="15">
        <f>IF([U] = "U", SUMPRODUCT(N([ID]&lt;=NC[[#This Row],[ID]]),N([DATA BASE]=NC[[#This Row],[DATA BASE]]), N(['[D/N']] = "N"),    [LUCRO P/ OP]), 0)</f>
        <v>0</v>
      </c>
      <c r="AI6" s="15">
        <f>IF([U] = "U", SUMPRODUCT(N([DATA BASE]=NC[[#This Row],[DATA BASE]]), N(['[D/N']] = "D"),    [LUCRO P/ OP]), 0)</f>
        <v>0</v>
      </c>
      <c r="AJ6" s="15">
        <f>IF([U] = "U", SUMPRODUCT(N([DATA BASE]=NC[[#This Row],[DATA BASE]]), N(['[D/N']] = "D"),    [IRRF FONTE]), 0)</f>
        <v>0</v>
      </c>
      <c r="AK6" s="143">
        <f>NC[[#This Row],[LÍQUIDO]]/NC[[#This Row],[QTDE]]</f>
        <v>1.2449249999999996</v>
      </c>
    </row>
    <row r="7" spans="1:37">
      <c r="A7" s="13">
        <v>6</v>
      </c>
      <c r="B7" s="13"/>
      <c r="C7" s="13" t="s">
        <v>31</v>
      </c>
      <c r="D7" s="13" t="s">
        <v>24</v>
      </c>
      <c r="E7" s="14">
        <v>40981</v>
      </c>
      <c r="F7" s="13">
        <v>200</v>
      </c>
      <c r="G7" s="15">
        <v>0.8</v>
      </c>
      <c r="H7" s="78"/>
      <c r="I7" s="19"/>
      <c r="J7" s="13" t="s">
        <v>6</v>
      </c>
      <c r="K7" s="14">
        <f>WORKDAY(NC[[#This Row],[DATA]],1,0)</f>
        <v>40982</v>
      </c>
      <c r="L7" s="21">
        <f>EOMONTH(NC[[#This Row],[DATA DE LIQUIDAÇÃO]],0)</f>
        <v>40999</v>
      </c>
      <c r="M7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7" s="15">
        <f>[QTDE]*[PREÇO]</f>
        <v>160</v>
      </c>
      <c r="O7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388</v>
      </c>
      <c r="P7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0.25</v>
      </c>
      <c r="Q7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0.25</v>
      </c>
      <c r="R7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0.43</v>
      </c>
      <c r="S7" s="15">
        <f>SETUP!$E$3 * IF([PARCIAL] &gt; 0, [QTDE] / [PARCIAL], 1)</f>
        <v>14.9</v>
      </c>
      <c r="T7" s="15">
        <f>SUMPRODUCT(N([DATA]=NC[[#This Row],[DATA]]),N([ID]&lt;=NC[[#This Row],[ID]]), [CORR])</f>
        <v>59.6</v>
      </c>
      <c r="U7" s="15">
        <f>TRUNC([CORRETAGEM]*SETUP!$F$3,2)</f>
        <v>1.19</v>
      </c>
      <c r="V7" s="15">
        <f>ROUND([CORRETAGEM]*SETUP!$G$3,2)</f>
        <v>2.3199999999999998</v>
      </c>
      <c r="W7" s="15">
        <f>[VALOR LÍQUIDO DAS OPERAÇÕES]-[TAXA DE LIQUIDAÇÃO]-[EMOLUMENTOS]-[TAXA DE REGISTRO]-[CORRETAGEM]-[ISS]-IF(['[D/N']]="D",    0,    [OUTRAS BOVESPA]) - [AJUSTE]</f>
        <v>323.95999999999998</v>
      </c>
      <c r="X7" s="15">
        <f>IF(AND(['[D/N']]="D",    [T]="CV",    [LÍQUIDO BASE] &gt; 0),    TRUNC([LÍQUIDO BASE]*0.01, 2),    0)</f>
        <v>0</v>
      </c>
      <c r="Y7" s="15">
        <f>IF([PREÇO] &gt; 0,    [LÍQUIDO BASE]-SUMPRODUCT(N([DATA]=NC[[#This Row],[DATA]]),    [IRRF FONTE]),    0)</f>
        <v>321.98999999999995</v>
      </c>
      <c r="Z7" s="15">
        <f>[LÍQUIDO]-SUMPRODUCT(N([DATA]=NC[[#This Row],[DATA]]),N([ID]=(NC[[#This Row],[ID]]-1)),[LÍQUIDO])</f>
        <v>-175.9799999999999</v>
      </c>
      <c r="AA7" s="15">
        <f>IF([T] = "VC", ABS([VALOR OP]) / [QTDE], [VALOR OP]/[QTDE])</f>
        <v>-0.87989999999999957</v>
      </c>
      <c r="AB7" s="15">
        <f>TRUNC(IF(OR([T]="CV",[T]="VV"),     N7*SETUP!$H$3,     0),2)</f>
        <v>0</v>
      </c>
      <c r="AC7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200</v>
      </c>
      <c r="AD7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0.87989999999999957</v>
      </c>
      <c r="AE7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7" s="19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7" s="15">
        <f>IF([LUCRO TMP] &lt;&gt; 0, [LUCRO TMP] - SUMPRODUCT(N([ATIVO]=NC[[#This Row],[ATIVO]]),N(['[D/N']]="N"),N([ID]&lt;NC[[#This Row],[ID]]),N([PAR]=NC[[#This Row],[PAR]]), [LUCRO TMP]), 0)</f>
        <v>0</v>
      </c>
      <c r="AH7" s="15">
        <f>IF([U] = "U", SUMPRODUCT(N([ID]&lt;=NC[[#This Row],[ID]]),N([DATA BASE]=NC[[#This Row],[DATA BASE]]), N(['[D/N']] = "N"),    [LUCRO P/ OP]), 0)</f>
        <v>0</v>
      </c>
      <c r="AI7" s="15">
        <f>IF([U] = "U", SUMPRODUCT(N([DATA BASE]=NC[[#This Row],[DATA BASE]]), N(['[D/N']] = "D"),    [LUCRO P/ OP]), 0)</f>
        <v>0</v>
      </c>
      <c r="AJ7" s="15">
        <f>IF([U] = "U", SUMPRODUCT(N([DATA BASE]=NC[[#This Row],[DATA BASE]]), N(['[D/N']] = "D"),    [IRRF FONTE]), 0)</f>
        <v>0</v>
      </c>
      <c r="AK7" s="143">
        <f>NC[[#This Row],[LÍQUIDO]]/NC[[#This Row],[QTDE]]</f>
        <v>1.6099499999999998</v>
      </c>
    </row>
    <row r="8" spans="1:37" ht="11.25" customHeight="1">
      <c r="A8" s="13">
        <v>7</v>
      </c>
      <c r="B8" s="13"/>
      <c r="C8" s="13" t="s">
        <v>28</v>
      </c>
      <c r="D8" s="13" t="s">
        <v>25</v>
      </c>
      <c r="E8" s="14">
        <v>40981</v>
      </c>
      <c r="F8" s="13">
        <v>600</v>
      </c>
      <c r="G8" s="15">
        <v>0.56000000000000005</v>
      </c>
      <c r="H8" s="78"/>
      <c r="I8" s="19"/>
      <c r="J8" s="13" t="s">
        <v>6</v>
      </c>
      <c r="K8" s="14">
        <f>WORKDAY(NC[[#This Row],[DATA]],1,0)</f>
        <v>40982</v>
      </c>
      <c r="L8" s="21">
        <f>EOMONTH(NC[[#This Row],[DATA DE LIQUIDAÇÃO]],0)</f>
        <v>40999</v>
      </c>
      <c r="M8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8" s="15">
        <f>[QTDE]*[PREÇO]</f>
        <v>336.00000000000006</v>
      </c>
      <c r="O8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724</v>
      </c>
      <c r="P8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0.34</v>
      </c>
      <c r="Q8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0.38</v>
      </c>
      <c r="R8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0.66</v>
      </c>
      <c r="S8" s="15">
        <f>SETUP!$E$3 * IF([PARCIAL] &gt; 0, [QTDE] / [PARCIAL], 1)</f>
        <v>14.9</v>
      </c>
      <c r="T8" s="15">
        <f>SUMPRODUCT(N([DATA]=NC[[#This Row],[DATA]]),N([ID]&lt;=NC[[#This Row],[ID]]), [CORR])</f>
        <v>74.5</v>
      </c>
      <c r="U8" s="15">
        <f>TRUNC([CORRETAGEM]*SETUP!$F$3,2)</f>
        <v>1.49</v>
      </c>
      <c r="V8" s="15">
        <f>ROUND([CORRETAGEM]*SETUP!$G$3,2)</f>
        <v>2.91</v>
      </c>
      <c r="W8" s="15">
        <f>[VALOR LÍQUIDO DAS OPERAÇÕES]-[TAXA DE LIQUIDAÇÃO]-[EMOLUMENTOS]-[TAXA DE REGISTRO]-[CORRETAGEM]-[ISS]-IF(['[D/N']]="D",    0,    [OUTRAS BOVESPA]) - [AJUSTE]</f>
        <v>643.72</v>
      </c>
      <c r="X8" s="15">
        <f>IF(AND(['[D/N']]="D",    [T]="CV",    [LÍQUIDO BASE] &gt; 0),    TRUNC([LÍQUIDO BASE]*0.01, 2),    0)</f>
        <v>0</v>
      </c>
      <c r="Y8" s="15">
        <f>IF([PREÇO] &gt; 0,    [LÍQUIDO BASE]-SUMPRODUCT(N([DATA]=NC[[#This Row],[DATA]]),    [IRRF FONTE]),    0)</f>
        <v>641.75</v>
      </c>
      <c r="Z8" s="15">
        <f>[LÍQUIDO]-SUMPRODUCT(N([DATA]=NC[[#This Row],[DATA]]),N([ID]=(NC[[#This Row],[ID]]-1)),[LÍQUIDO])</f>
        <v>319.76000000000005</v>
      </c>
      <c r="AA8" s="15">
        <f>IF([T] = "VC", ABS([VALOR OP]) / [QTDE], [VALOR OP]/[QTDE])</f>
        <v>0.53293333333333337</v>
      </c>
      <c r="AB8" s="15">
        <f>TRUNC(IF(OR([T]="CV",[T]="VV"),     N8*SETUP!$H$3,     0),2)</f>
        <v>0.01</v>
      </c>
      <c r="AC8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8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0.30663333333333342</v>
      </c>
      <c r="AE8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0.53293333333333337</v>
      </c>
      <c r="AF8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135.77999999999997</v>
      </c>
      <c r="AG8" s="15">
        <f>IF([LUCRO TMP] &lt;&gt; 0, [LUCRO TMP] - SUMPRODUCT(N([ATIVO]=NC[[#This Row],[ATIVO]]),N(['[D/N']]="N"),N([ID]&lt;NC[[#This Row],[ID]]),N([PAR]=NC[[#This Row],[PAR]]), [LUCRO TMP]), 0)</f>
        <v>135.77999999999997</v>
      </c>
      <c r="AH8" s="15">
        <f>IF([U] = "U", SUMPRODUCT(N([ID]&lt;=NC[[#This Row],[ID]]),N([DATA BASE]=NC[[#This Row],[DATA BASE]]), N(['[D/N']] = "N"),    [LUCRO P/ OP]), 0)</f>
        <v>0</v>
      </c>
      <c r="AI8" s="15">
        <f>IF([U] = "U", SUMPRODUCT(N([DATA BASE]=NC[[#This Row],[DATA BASE]]), N(['[D/N']] = "D"),    [LUCRO P/ OP]), 0)</f>
        <v>0</v>
      </c>
      <c r="AJ8" s="15">
        <f>IF([U] = "U", SUMPRODUCT(N([DATA BASE]=NC[[#This Row],[DATA BASE]]), N(['[D/N']] = "D"),    [IRRF FONTE]), 0)</f>
        <v>0</v>
      </c>
      <c r="AK8" s="143">
        <f>NC[[#This Row],[LÍQUIDO]]/NC[[#This Row],[QTDE]]</f>
        <v>1.0695833333333333</v>
      </c>
    </row>
    <row r="9" spans="1:37" ht="11.25" customHeight="1">
      <c r="A9" s="13">
        <v>8</v>
      </c>
      <c r="B9" s="13"/>
      <c r="C9" s="13" t="s">
        <v>42</v>
      </c>
      <c r="D9" s="13" t="s">
        <v>24</v>
      </c>
      <c r="E9" s="14">
        <v>40982</v>
      </c>
      <c r="F9" s="13">
        <v>2400</v>
      </c>
      <c r="G9" s="15">
        <v>0.13</v>
      </c>
      <c r="H9" s="78"/>
      <c r="I9" s="19"/>
      <c r="J9" s="13" t="s">
        <v>14</v>
      </c>
      <c r="K9" s="14">
        <f>WORKDAY(NC[[#This Row],[DATA]],1,0)</f>
        <v>40983</v>
      </c>
      <c r="L9" s="22">
        <f>EOMONTH(NC[[#This Row],[DATA DE LIQUIDAÇÃO]],0)</f>
        <v>40999</v>
      </c>
      <c r="M9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9" s="15">
        <f>[QTDE]*[PREÇO]</f>
        <v>312</v>
      </c>
      <c r="O9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-312</v>
      </c>
      <c r="P9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0.05</v>
      </c>
      <c r="Q9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0.03</v>
      </c>
      <c r="R9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0.04</v>
      </c>
      <c r="S9" s="15">
        <f>SETUP!$E$3 * IF([PARCIAL] &gt; 0, [QTDE] / [PARCIAL], 1)</f>
        <v>14.9</v>
      </c>
      <c r="T9" s="15">
        <f>SUMPRODUCT(N([DATA]=NC[[#This Row],[DATA]]),N([ID]&lt;=NC[[#This Row],[ID]]), [CORR])</f>
        <v>14.9</v>
      </c>
      <c r="U9" s="15">
        <f>TRUNC([CORRETAGEM]*SETUP!$F$3,2)</f>
        <v>0.28999999999999998</v>
      </c>
      <c r="V9" s="15">
        <f>ROUND([CORRETAGEM]*SETUP!$G$3,2)</f>
        <v>0.57999999999999996</v>
      </c>
      <c r="W9" s="15">
        <f>[VALOR LÍQUIDO DAS OPERAÇÕES]-[TAXA DE LIQUIDAÇÃO]-[EMOLUMENTOS]-[TAXA DE REGISTRO]-[CORRETAGEM]-[ISS]-IF(['[D/N']]="D",    0,    [OUTRAS BOVESPA]) - [AJUSTE]</f>
        <v>-327.31</v>
      </c>
      <c r="X9" s="15">
        <f>IF(AND(['[D/N']]="D",    [T]="CV",    [LÍQUIDO BASE] &gt; 0),    TRUNC([LÍQUIDO BASE]*0.01, 2),    0)</f>
        <v>0</v>
      </c>
      <c r="Y9" s="15">
        <f>IF([PREÇO] &gt; 0,    [LÍQUIDO BASE]-SUMPRODUCT(N([DATA]=NC[[#This Row],[DATA]]),    [IRRF FONTE]),    0)</f>
        <v>-330.12</v>
      </c>
      <c r="Z9" s="15">
        <f>[LÍQUIDO]-SUMPRODUCT(N([DATA]=NC[[#This Row],[DATA]]),N([ID]=(NC[[#This Row],[ID]]-1)),[LÍQUIDO])</f>
        <v>-330.12</v>
      </c>
      <c r="AA9" s="15">
        <f>IF([T] = "VC", ABS([VALOR OP]) / [QTDE], [VALOR OP]/[QTDE])</f>
        <v>-0.13755000000000001</v>
      </c>
      <c r="AB9" s="15">
        <f>TRUNC(IF(OR([T]="CV",[T]="VV"),     N9*SETUP!$H$3,     0),2)</f>
        <v>0</v>
      </c>
      <c r="AC9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9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0.13755000000000001</v>
      </c>
      <c r="AE9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9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9" s="15">
        <f>IF([LUCRO TMP] &lt;&gt; 0, [LUCRO TMP] - SUMPRODUCT(N([ATIVO]=NC[[#This Row],[ATIVO]]),N(['[D/N']]="N"),N([ID]&lt;NC[[#This Row],[ID]]),N([PAR]=NC[[#This Row],[PAR]]), [LUCRO TMP]), 0)</f>
        <v>0</v>
      </c>
      <c r="AH9" s="15">
        <f>IF([U] = "U", SUMPRODUCT(N([ID]&lt;=NC[[#This Row],[ID]]),N([DATA BASE]=NC[[#This Row],[DATA BASE]]), N(['[D/N']] = "N"),    [LUCRO P/ OP]), 0)</f>
        <v>0</v>
      </c>
      <c r="AI9" s="15">
        <f>IF([U] = "U", SUMPRODUCT(N([DATA BASE]=NC[[#This Row],[DATA BASE]]), N(['[D/N']] = "D"),    [LUCRO P/ OP]), 0)</f>
        <v>0</v>
      </c>
      <c r="AJ9" s="15">
        <f>IF([U] = "U", SUMPRODUCT(N([DATA BASE]=NC[[#This Row],[DATA BASE]]), N(['[D/N']] = "D"),    [IRRF FONTE]), 0)</f>
        <v>0</v>
      </c>
      <c r="AK9" s="143">
        <f>NC[[#This Row],[LÍQUIDO]]/NC[[#This Row],[QTDE]]</f>
        <v>-0.13755000000000001</v>
      </c>
    </row>
    <row r="10" spans="1:37" ht="11.25" customHeight="1">
      <c r="A10" s="13">
        <v>9</v>
      </c>
      <c r="B10" s="13"/>
      <c r="C10" s="13" t="s">
        <v>42</v>
      </c>
      <c r="D10" s="13" t="s">
        <v>25</v>
      </c>
      <c r="E10" s="14">
        <v>40982</v>
      </c>
      <c r="F10" s="13">
        <v>2400</v>
      </c>
      <c r="G10" s="15">
        <v>0.26</v>
      </c>
      <c r="H10" s="78"/>
      <c r="I10" s="19"/>
      <c r="J10" s="13" t="s">
        <v>14</v>
      </c>
      <c r="K10" s="14">
        <f>WORKDAY(NC[[#This Row],[DATA]],1,0)</f>
        <v>40983</v>
      </c>
      <c r="L10" s="22">
        <f>EOMONTH(NC[[#This Row],[DATA DE LIQUIDAÇÃO]],0)</f>
        <v>40999</v>
      </c>
      <c r="M10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10" s="15">
        <f>[QTDE]*[PREÇO]</f>
        <v>624</v>
      </c>
      <c r="O10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312</v>
      </c>
      <c r="P10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0.16</v>
      </c>
      <c r="Q10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0.11</v>
      </c>
      <c r="R10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0.14000000000000001</v>
      </c>
      <c r="S10" s="15">
        <f>SETUP!$E$3 * IF([PARCIAL] &gt; 0, [QTDE] / [PARCIAL], 1)</f>
        <v>14.9</v>
      </c>
      <c r="T10" s="15">
        <f>SUMPRODUCT(N([DATA]=NC[[#This Row],[DATA]]),N([ID]&lt;=NC[[#This Row],[ID]]), [CORR])</f>
        <v>29.8</v>
      </c>
      <c r="U10" s="15">
        <f>TRUNC([CORRETAGEM]*SETUP!$F$3,2)</f>
        <v>0.59</v>
      </c>
      <c r="V10" s="15">
        <f>ROUND([CORRETAGEM]*SETUP!$G$3,2)</f>
        <v>1.1599999999999999</v>
      </c>
      <c r="W10" s="15">
        <f>[VALOR LÍQUIDO DAS OPERAÇÕES]-[TAXA DE LIQUIDAÇÃO]-[EMOLUMENTOS]-[TAXA DE REGISTRO]-[CORRETAGEM]-[ISS]-IF(['[D/N']]="D",    0,    [OUTRAS BOVESPA]) - [AJUSTE]</f>
        <v>281.2</v>
      </c>
      <c r="X10" s="15">
        <f>IF(AND(['[D/N']]="D",    [T]="CV",    [LÍQUIDO BASE] &gt; 0),    TRUNC([LÍQUIDO BASE]*0.01, 2),    0)</f>
        <v>2.81</v>
      </c>
      <c r="Y10" s="15">
        <f>IF([PREÇO] &gt; 0,    [LÍQUIDO BASE]-SUMPRODUCT(N([DATA]=NC[[#This Row],[DATA]]),    [IRRF FONTE]),    0)</f>
        <v>278.39</v>
      </c>
      <c r="Z10" s="15">
        <f>[LÍQUIDO]-SUMPRODUCT(N([DATA]=NC[[#This Row],[DATA]]),N([ID]=(NC[[#This Row],[ID]]-1)),[LÍQUIDO])</f>
        <v>608.51</v>
      </c>
      <c r="AA10" s="15">
        <f>IF([T] = "VC", ABS([VALOR OP]) / [QTDE], [VALOR OP]/[QTDE])</f>
        <v>0.2535458333333333</v>
      </c>
      <c r="AB10" s="15">
        <f>TRUNC(IF(OR([T]="CV",[T]="VV"),     N10*SETUP!$H$3,     0),2)</f>
        <v>0.03</v>
      </c>
      <c r="AC10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10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0.13755000000000001</v>
      </c>
      <c r="AE10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0.2535458333333333</v>
      </c>
      <c r="AF10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281.19999999999993</v>
      </c>
      <c r="AG10" s="15">
        <f>IF([LUCRO TMP] &lt;&gt; 0, [LUCRO TMP] - SUMPRODUCT(N([ATIVO]=NC[[#This Row],[ATIVO]]),N(['[D/N']]="N"),N([ID]&lt;NC[[#This Row],[ID]]),N([PAR]=NC[[#This Row],[PAR]]), [LUCRO TMP]), 0)</f>
        <v>281.19999999999993</v>
      </c>
      <c r="AH10" s="15">
        <f>IF([U] = "U", SUMPRODUCT(N([ID]&lt;=NC[[#This Row],[ID]]),N([DATA BASE]=NC[[#This Row],[DATA BASE]]), N(['[D/N']] = "N"),    [LUCRO P/ OP]), 0)</f>
        <v>0</v>
      </c>
      <c r="AI10" s="15">
        <f>IF([U] = "U", SUMPRODUCT(N([DATA BASE]=NC[[#This Row],[DATA BASE]]), N(['[D/N']] = "D"),    [LUCRO P/ OP]), 0)</f>
        <v>0</v>
      </c>
      <c r="AJ10" s="15">
        <f>IF([U] = "U", SUMPRODUCT(N([DATA BASE]=NC[[#This Row],[DATA BASE]]), N(['[D/N']] = "D"),    [IRRF FONTE]), 0)</f>
        <v>0</v>
      </c>
      <c r="AK10" s="143">
        <f>NC[[#This Row],[LÍQUIDO]]/NC[[#This Row],[QTDE]]</f>
        <v>0.11599583333333333</v>
      </c>
    </row>
    <row r="11" spans="1:37" ht="11.25" customHeight="1">
      <c r="A11" s="13">
        <v>10</v>
      </c>
      <c r="B11" s="13"/>
      <c r="C11" s="13" t="s">
        <v>43</v>
      </c>
      <c r="D11" s="13" t="s">
        <v>24</v>
      </c>
      <c r="E11" s="14">
        <v>40982</v>
      </c>
      <c r="F11" s="13">
        <v>800</v>
      </c>
      <c r="G11" s="15">
        <v>0.39</v>
      </c>
      <c r="H11" s="78"/>
      <c r="I11" s="19"/>
      <c r="J11" s="13" t="s">
        <v>6</v>
      </c>
      <c r="K11" s="14">
        <f>WORKDAY(NC[[#This Row],[DATA]],1,0)</f>
        <v>40983</v>
      </c>
      <c r="L11" s="22">
        <f>EOMONTH(NC[[#This Row],[DATA DE LIQUIDAÇÃO]],0)</f>
        <v>40999</v>
      </c>
      <c r="M11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11" s="15">
        <f>[QTDE]*[PREÇO]</f>
        <v>312</v>
      </c>
      <c r="O11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11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0.25</v>
      </c>
      <c r="Q11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0.22</v>
      </c>
      <c r="R11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0.35</v>
      </c>
      <c r="S11" s="15">
        <f>SETUP!$E$3 * IF([PARCIAL] &gt; 0, [QTDE] / [PARCIAL], 1)</f>
        <v>14.9</v>
      </c>
      <c r="T11" s="15">
        <f>SUMPRODUCT(N([DATA]=NC[[#This Row],[DATA]]),N([ID]&lt;=NC[[#This Row],[ID]]), [CORR])</f>
        <v>44.7</v>
      </c>
      <c r="U11" s="15">
        <f>TRUNC([CORRETAGEM]*SETUP!$F$3,2)</f>
        <v>0.89</v>
      </c>
      <c r="V11" s="15">
        <f>ROUND([CORRETAGEM]*SETUP!$G$3,2)</f>
        <v>1.74</v>
      </c>
      <c r="W11" s="15">
        <f>[VALOR LÍQUIDO DAS OPERAÇÕES]-[TAXA DE LIQUIDAÇÃO]-[EMOLUMENTOS]-[TAXA DE REGISTRO]-[CORRETAGEM]-[ISS]-IF(['[D/N']]="D",    0,    [OUTRAS BOVESPA]) - [AJUSTE]</f>
        <v>-48.150000000000006</v>
      </c>
      <c r="X11" s="15">
        <f>IF(AND(['[D/N']]="D",    [T]="CV",    [LÍQUIDO BASE] &gt; 0),    TRUNC([LÍQUIDO BASE]*0.01, 2),    0)</f>
        <v>0</v>
      </c>
      <c r="Y11" s="15">
        <f>IF([PREÇO] &gt; 0,    [LÍQUIDO BASE]-SUMPRODUCT(N([DATA]=NC[[#This Row],[DATA]]),    [IRRF FONTE]),    0)</f>
        <v>-50.960000000000008</v>
      </c>
      <c r="Z11" s="15">
        <f>[LÍQUIDO]-SUMPRODUCT(N([DATA]=NC[[#This Row],[DATA]]),N([ID]=(NC[[#This Row],[ID]]-1)),[LÍQUIDO])</f>
        <v>-329.35</v>
      </c>
      <c r="AA11" s="15">
        <f>IF([T] = "VC", ABS([VALOR OP]) / [QTDE], [VALOR OP]/[QTDE])</f>
        <v>-0.41168750000000004</v>
      </c>
      <c r="AB11" s="15">
        <f>TRUNC(IF(OR([T]="CV",[T]="VV"),     N11*SETUP!$H$3,     0),2)</f>
        <v>0</v>
      </c>
      <c r="AC11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800</v>
      </c>
      <c r="AD11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0.41168750000000004</v>
      </c>
      <c r="AE11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11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11" s="15">
        <f>IF([LUCRO TMP] &lt;&gt; 0, [LUCRO TMP] - SUMPRODUCT(N([ATIVO]=NC[[#This Row],[ATIVO]]),N(['[D/N']]="N"),N([ID]&lt;NC[[#This Row],[ID]]),N([PAR]=NC[[#This Row],[PAR]]), [LUCRO TMP]), 0)</f>
        <v>0</v>
      </c>
      <c r="AH11" s="15">
        <f>IF([U] = "U", SUMPRODUCT(N([ID]&lt;=NC[[#This Row],[ID]]),N([DATA BASE]=NC[[#This Row],[DATA BASE]]), N(['[D/N']] = "N"),    [LUCRO P/ OP]), 0)</f>
        <v>0</v>
      </c>
      <c r="AI11" s="15">
        <f>IF([U] = "U", SUMPRODUCT(N([DATA BASE]=NC[[#This Row],[DATA BASE]]), N(['[D/N']] = "D"),    [LUCRO P/ OP]), 0)</f>
        <v>0</v>
      </c>
      <c r="AJ11" s="15">
        <f>IF([U] = "U", SUMPRODUCT(N([DATA BASE]=NC[[#This Row],[DATA BASE]]), N(['[D/N']] = "D"),    [IRRF FONTE]), 0)</f>
        <v>0</v>
      </c>
      <c r="AK11" s="143">
        <f>NC[[#This Row],[LÍQUIDO]]/NC[[#This Row],[QTDE]]</f>
        <v>-6.3700000000000007E-2</v>
      </c>
    </row>
    <row r="12" spans="1:37" ht="11.25" customHeight="1">
      <c r="A12" s="13">
        <v>11</v>
      </c>
      <c r="B12" s="13"/>
      <c r="C12" s="13" t="s">
        <v>45</v>
      </c>
      <c r="D12" s="13" t="s">
        <v>24</v>
      </c>
      <c r="E12" s="14">
        <v>40983</v>
      </c>
      <c r="F12" s="13">
        <v>500</v>
      </c>
      <c r="G12" s="15">
        <v>0.72</v>
      </c>
      <c r="H12" s="78"/>
      <c r="I12" s="19"/>
      <c r="J12" s="13" t="s">
        <v>6</v>
      </c>
      <c r="K12" s="14">
        <f>WORKDAY(NC[[#This Row],[DATA]],1,0)</f>
        <v>40984</v>
      </c>
      <c r="L12" s="22">
        <f>EOMONTH(NC[[#This Row],[DATA DE LIQUIDAÇÃO]],0)</f>
        <v>40999</v>
      </c>
      <c r="M12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12" s="15">
        <f>[QTDE]*[PREÇO]</f>
        <v>360</v>
      </c>
      <c r="O12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-360</v>
      </c>
      <c r="P12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0.09</v>
      </c>
      <c r="Q12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0.13</v>
      </c>
      <c r="R12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0.25</v>
      </c>
      <c r="S12" s="15">
        <f>SETUP!$E$3 * IF([PARCIAL] &gt; 0, [QTDE] / [PARCIAL], 1)</f>
        <v>14.9</v>
      </c>
      <c r="T12" s="15">
        <f>SUMPRODUCT(N([DATA]=NC[[#This Row],[DATA]]),N([ID]&lt;=NC[[#This Row],[ID]]), [CORR])</f>
        <v>14.9</v>
      </c>
      <c r="U12" s="15">
        <f>TRUNC([CORRETAGEM]*SETUP!$F$3,2)</f>
        <v>0.28999999999999998</v>
      </c>
      <c r="V12" s="15">
        <f>ROUND([CORRETAGEM]*SETUP!$G$3,2)</f>
        <v>0.57999999999999996</v>
      </c>
      <c r="W12" s="15">
        <f>[VALOR LÍQUIDO DAS OPERAÇÕES]-[TAXA DE LIQUIDAÇÃO]-[EMOLUMENTOS]-[TAXA DE REGISTRO]-[CORRETAGEM]-[ISS]-IF(['[D/N']]="D",    0,    [OUTRAS BOVESPA]) - [AJUSTE]</f>
        <v>-376.23999999999995</v>
      </c>
      <c r="X12" s="15">
        <f>IF(AND(['[D/N']]="D",    [T]="CV",    [LÍQUIDO BASE] &gt; 0),    TRUNC([LÍQUIDO BASE]*0.01, 2),    0)</f>
        <v>0</v>
      </c>
      <c r="Y12" s="15">
        <f>IF([PREÇO] &gt; 0,    [LÍQUIDO BASE]-SUMPRODUCT(N([DATA]=NC[[#This Row],[DATA]]),    [IRRF FONTE]),    0)</f>
        <v>-376.23999999999995</v>
      </c>
      <c r="Z12" s="15">
        <f>[LÍQUIDO]-SUMPRODUCT(N([DATA]=NC[[#This Row],[DATA]]),N([ID]=(NC[[#This Row],[ID]]-1)),[LÍQUIDO])</f>
        <v>-376.23999999999995</v>
      </c>
      <c r="AA12" s="15">
        <f>IF([T] = "VC", ABS([VALOR OP]) / [QTDE], [VALOR OP]/[QTDE])</f>
        <v>-0.75247999999999993</v>
      </c>
      <c r="AB12" s="15">
        <f>TRUNC(IF(OR([T]="CV",[T]="VV"),     N12*SETUP!$H$3,     0),2)</f>
        <v>0</v>
      </c>
      <c r="AC12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500</v>
      </c>
      <c r="AD12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0.75247999999999993</v>
      </c>
      <c r="AE12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12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12" s="15">
        <f>IF([LUCRO TMP] &lt;&gt; 0, [LUCRO TMP] - SUMPRODUCT(N([ATIVO]=NC[[#This Row],[ATIVO]]),N(['[D/N']]="N"),N([ID]&lt;NC[[#This Row],[ID]]),N([PAR]=NC[[#This Row],[PAR]]), [LUCRO TMP]), 0)</f>
        <v>0</v>
      </c>
      <c r="AH12" s="15">
        <f>IF([U] = "U", SUMPRODUCT(N([ID]&lt;=NC[[#This Row],[ID]]),N([DATA BASE]=NC[[#This Row],[DATA BASE]]), N(['[D/N']] = "N"),    [LUCRO P/ OP]), 0)</f>
        <v>0</v>
      </c>
      <c r="AI12" s="15">
        <f>IF([U] = "U", SUMPRODUCT(N([DATA BASE]=NC[[#This Row],[DATA BASE]]), N(['[D/N']] = "D"),    [LUCRO P/ OP]), 0)</f>
        <v>0</v>
      </c>
      <c r="AJ12" s="15">
        <f>IF([U] = "U", SUMPRODUCT(N([DATA BASE]=NC[[#This Row],[DATA BASE]]), N(['[D/N']] = "D"),    [IRRF FONTE]), 0)</f>
        <v>0</v>
      </c>
      <c r="AK12" s="143">
        <f>NC[[#This Row],[LÍQUIDO]]/NC[[#This Row],[QTDE]]</f>
        <v>-0.75247999999999993</v>
      </c>
    </row>
    <row r="13" spans="1:37" ht="11.25" customHeight="1">
      <c r="A13" s="13">
        <v>12</v>
      </c>
      <c r="B13" s="13"/>
      <c r="C13" s="13" t="s">
        <v>43</v>
      </c>
      <c r="D13" s="13" t="s">
        <v>25</v>
      </c>
      <c r="E13" s="14">
        <v>40984</v>
      </c>
      <c r="F13" s="13">
        <v>800</v>
      </c>
      <c r="G13" s="15">
        <v>0.21</v>
      </c>
      <c r="H13" s="78"/>
      <c r="I13" s="19"/>
      <c r="J13" s="13" t="s">
        <v>6</v>
      </c>
      <c r="K13" s="14">
        <f>WORKDAY(NC[[#This Row],[DATA]],1,0)</f>
        <v>40987</v>
      </c>
      <c r="L13" s="22">
        <f>EOMONTH(NC[[#This Row],[DATA DE LIQUIDAÇÃO]],0)</f>
        <v>40999</v>
      </c>
      <c r="M13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13" s="15">
        <f>[QTDE]*[PREÇO]</f>
        <v>168</v>
      </c>
      <c r="O13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168</v>
      </c>
      <c r="P13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0.04</v>
      </c>
      <c r="Q13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0.06</v>
      </c>
      <c r="R13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0.11</v>
      </c>
      <c r="S13" s="15">
        <f>SETUP!$E$3 * IF([PARCIAL] &gt; 0, [QTDE] / [PARCIAL], 1)</f>
        <v>14.9</v>
      </c>
      <c r="T13" s="15">
        <f>SUMPRODUCT(N([DATA]=NC[[#This Row],[DATA]]),N([ID]&lt;=NC[[#This Row],[ID]]), [CORR])</f>
        <v>14.9</v>
      </c>
      <c r="U13" s="15">
        <f>TRUNC([CORRETAGEM]*SETUP!$F$3,2)</f>
        <v>0.28999999999999998</v>
      </c>
      <c r="V13" s="15">
        <f>ROUND([CORRETAGEM]*SETUP!$G$3,2)</f>
        <v>0.57999999999999996</v>
      </c>
      <c r="W13" s="15">
        <f>[VALOR LÍQUIDO DAS OPERAÇÕES]-[TAXA DE LIQUIDAÇÃO]-[EMOLUMENTOS]-[TAXA DE REGISTRO]-[CORRETAGEM]-[ISS]-IF(['[D/N']]="D",    0,    [OUTRAS BOVESPA]) - [AJUSTE]</f>
        <v>152.01999999999998</v>
      </c>
      <c r="X13" s="15">
        <f>IF(AND(['[D/N']]="D",    [T]="CV",    [LÍQUIDO BASE] &gt; 0),    TRUNC([LÍQUIDO BASE]*0.01, 2),    0)</f>
        <v>0</v>
      </c>
      <c r="Y13" s="15">
        <f>IF([PREÇO] &gt; 0,    [LÍQUIDO BASE]-SUMPRODUCT(N([DATA]=NC[[#This Row],[DATA]]),    [IRRF FONTE]),    0)</f>
        <v>152.01999999999998</v>
      </c>
      <c r="Z13" s="20">
        <f>[LÍQUIDO]-SUMPRODUCT(N([DATA]=NC[[#This Row],[DATA]]),N([ID]=(NC[[#This Row],[ID]]-1)),[LÍQUIDO])</f>
        <v>152.01999999999998</v>
      </c>
      <c r="AA13" s="15">
        <f>IF([T] = "VC", ABS([VALOR OP]) / [QTDE], [VALOR OP]/[QTDE])</f>
        <v>0.19002499999999997</v>
      </c>
      <c r="AB13" s="15">
        <f>TRUNC(IF(OR([T]="CV",[T]="VV"),     N13*SETUP!$H$3,     0),2)</f>
        <v>0</v>
      </c>
      <c r="AC13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13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0.41168750000000004</v>
      </c>
      <c r="AE13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0.19002499999999997</v>
      </c>
      <c r="AF13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-177.33000000000004</v>
      </c>
      <c r="AG13" s="15">
        <f>IF([LUCRO TMP] &lt;&gt; 0, [LUCRO TMP] - SUMPRODUCT(N([ATIVO]=NC[[#This Row],[ATIVO]]),N(['[D/N']]="N"),N([ID]&lt;NC[[#This Row],[ID]]),N([PAR]=NC[[#This Row],[PAR]]), [LUCRO TMP]), 0)</f>
        <v>-177.33000000000004</v>
      </c>
      <c r="AH13" s="15">
        <f>IF([U] = "U", SUMPRODUCT(N([ID]&lt;=NC[[#This Row],[ID]]),N([DATA BASE]=NC[[#This Row],[DATA BASE]]), N(['[D/N']] = "N"),    [LUCRO P/ OP]), 0)</f>
        <v>0</v>
      </c>
      <c r="AI13" s="15">
        <f>IF([U] = "U", SUMPRODUCT(N([DATA BASE]=NC[[#This Row],[DATA BASE]]), N(['[D/N']] = "D"),    [LUCRO P/ OP]), 0)</f>
        <v>0</v>
      </c>
      <c r="AJ13" s="15">
        <f>IF([U] = "U", SUMPRODUCT(N([DATA BASE]=NC[[#This Row],[DATA BASE]]), N(['[D/N']] = "D"),    [IRRF FONTE]), 0)</f>
        <v>0</v>
      </c>
      <c r="AK13" s="143">
        <f>NC[[#This Row],[LÍQUIDO]]/NC[[#This Row],[QTDE]]</f>
        <v>0.19002499999999997</v>
      </c>
    </row>
    <row r="14" spans="1:37" ht="11.25" customHeight="1">
      <c r="A14" s="13">
        <v>13</v>
      </c>
      <c r="B14" s="13"/>
      <c r="C14" s="13" t="s">
        <v>45</v>
      </c>
      <c r="D14" s="13" t="s">
        <v>25</v>
      </c>
      <c r="E14" s="14">
        <v>40984</v>
      </c>
      <c r="F14" s="13">
        <v>500</v>
      </c>
      <c r="G14" s="15">
        <v>0.64</v>
      </c>
      <c r="H14" s="78"/>
      <c r="I14" s="19"/>
      <c r="J14" s="13" t="s">
        <v>6</v>
      </c>
      <c r="K14" s="14">
        <f>WORKDAY(NC[[#This Row],[DATA]],1,0)</f>
        <v>40987</v>
      </c>
      <c r="L14" s="22">
        <f>EOMONTH(NC[[#This Row],[DATA DE LIQUIDAÇÃO]],0)</f>
        <v>40999</v>
      </c>
      <c r="M14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14" s="15">
        <f>[QTDE]*[PREÇO]</f>
        <v>320</v>
      </c>
      <c r="O14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488</v>
      </c>
      <c r="P14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0.13</v>
      </c>
      <c r="Q14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0.18</v>
      </c>
      <c r="R14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0.33</v>
      </c>
      <c r="S14" s="15">
        <f>SETUP!$E$3 * IF([PARCIAL] &gt; 0, [QTDE] / [PARCIAL], 1)</f>
        <v>14.9</v>
      </c>
      <c r="T14" s="15">
        <f>SUMPRODUCT(N([DATA]=NC[[#This Row],[DATA]]),N([ID]&lt;=NC[[#This Row],[ID]]), [CORR])</f>
        <v>29.8</v>
      </c>
      <c r="U14" s="15">
        <f>TRUNC([CORRETAGEM]*SETUP!$F$3,2)</f>
        <v>0.59</v>
      </c>
      <c r="V14" s="15">
        <f>ROUND([CORRETAGEM]*SETUP!$G$3,2)</f>
        <v>1.1599999999999999</v>
      </c>
      <c r="W14" s="15">
        <f>[VALOR LÍQUIDO DAS OPERAÇÕES]-[TAXA DE LIQUIDAÇÃO]-[EMOLUMENTOS]-[TAXA DE REGISTRO]-[CORRETAGEM]-[ISS]-IF(['[D/N']]="D",    0,    [OUTRAS BOVESPA]) - [AJUSTE]</f>
        <v>455.81</v>
      </c>
      <c r="X14" s="15">
        <f>IF(AND(['[D/N']]="D",    [T]="CV",    [LÍQUIDO BASE] &gt; 0),    TRUNC([LÍQUIDO BASE]*0.01, 2),    0)</f>
        <v>0</v>
      </c>
      <c r="Y14" s="15">
        <f>IF([PREÇO] &gt; 0,    [LÍQUIDO BASE]-SUMPRODUCT(N([DATA]=NC[[#This Row],[DATA]]),    [IRRF FONTE]),    0)</f>
        <v>455.81</v>
      </c>
      <c r="Z14" s="20">
        <f>[LÍQUIDO]-SUMPRODUCT(N([DATA]=NC[[#This Row],[DATA]]),N([ID]=(NC[[#This Row],[ID]]-1)),[LÍQUIDO])</f>
        <v>303.79000000000002</v>
      </c>
      <c r="AA14" s="15">
        <f>IF([T] = "VC", ABS([VALOR OP]) / [QTDE], [VALOR OP]/[QTDE])</f>
        <v>0.60758000000000001</v>
      </c>
      <c r="AB14" s="15">
        <f>TRUNC(IF(OR([T]="CV",[T]="VV"),     N14*SETUP!$H$3,     0),2)</f>
        <v>0.01</v>
      </c>
      <c r="AC14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14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0.75247999999999993</v>
      </c>
      <c r="AE14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0.60758000000000001</v>
      </c>
      <c r="AF14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-72.44999999999996</v>
      </c>
      <c r="AG14" s="15">
        <f>IF([LUCRO TMP] &lt;&gt; 0, [LUCRO TMP] - SUMPRODUCT(N([ATIVO]=NC[[#This Row],[ATIVO]]),N(['[D/N']]="N"),N([ID]&lt;NC[[#This Row],[ID]]),N([PAR]=NC[[#This Row],[PAR]]), [LUCRO TMP]), 0)</f>
        <v>-72.44999999999996</v>
      </c>
      <c r="AH14" s="15">
        <f>IF([U] = "U", SUMPRODUCT(N([ID]&lt;=NC[[#This Row],[ID]]),N([DATA BASE]=NC[[#This Row],[DATA BASE]]), N(['[D/N']] = "N"),    [LUCRO P/ OP]), 0)</f>
        <v>0</v>
      </c>
      <c r="AI14" s="15">
        <f>IF([U] = "U", SUMPRODUCT(N([DATA BASE]=NC[[#This Row],[DATA BASE]]), N(['[D/N']] = "D"),    [LUCRO P/ OP]), 0)</f>
        <v>0</v>
      </c>
      <c r="AJ14" s="15">
        <f>IF([U] = "U", SUMPRODUCT(N([DATA BASE]=NC[[#This Row],[DATA BASE]]), N(['[D/N']] = "D"),    [IRRF FONTE]), 0)</f>
        <v>0</v>
      </c>
      <c r="AK14" s="143">
        <f>NC[[#This Row],[LÍQUIDO]]/NC[[#This Row],[QTDE]]</f>
        <v>0.91161999999999999</v>
      </c>
    </row>
    <row r="15" spans="1:37">
      <c r="A15" s="13">
        <v>14</v>
      </c>
      <c r="B15" s="13"/>
      <c r="C15" s="13" t="s">
        <v>31</v>
      </c>
      <c r="D15" s="13" t="s">
        <v>25</v>
      </c>
      <c r="E15" s="14">
        <v>40984</v>
      </c>
      <c r="F15" s="13">
        <v>100</v>
      </c>
      <c r="G15" s="15">
        <v>1.06</v>
      </c>
      <c r="H15" s="78"/>
      <c r="I15" s="19"/>
      <c r="J15" s="13" t="s">
        <v>6</v>
      </c>
      <c r="K15" s="14">
        <f>WORKDAY(NC[[#This Row],[DATA]],1,0)</f>
        <v>40987</v>
      </c>
      <c r="L15" s="22">
        <f>EOMONTH(NC[[#This Row],[DATA DE LIQUIDAÇÃO]],0)</f>
        <v>40999</v>
      </c>
      <c r="M15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15" s="15">
        <f>[QTDE]*[PREÇO]</f>
        <v>106</v>
      </c>
      <c r="O15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594</v>
      </c>
      <c r="P15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0.16</v>
      </c>
      <c r="Q15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0.21</v>
      </c>
      <c r="R15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0.41</v>
      </c>
      <c r="S15" s="15">
        <f>SETUP!$E$3 * IF([PARCIAL] &gt; 0, [QTDE] / [PARCIAL], 1)</f>
        <v>14.9</v>
      </c>
      <c r="T15" s="15">
        <f>SUMPRODUCT(N([DATA]=NC[[#This Row],[DATA]]),N([ID]&lt;=NC[[#This Row],[ID]]), [CORR])</f>
        <v>44.7</v>
      </c>
      <c r="U15" s="15">
        <f>TRUNC([CORRETAGEM]*SETUP!$F$3,2)</f>
        <v>0.89</v>
      </c>
      <c r="V15" s="15">
        <f>ROUND([CORRETAGEM]*SETUP!$G$3,2)</f>
        <v>1.74</v>
      </c>
      <c r="W15" s="15">
        <f>[VALOR LÍQUIDO DAS OPERAÇÕES]-[TAXA DE LIQUIDAÇÃO]-[EMOLUMENTOS]-[TAXA DE REGISTRO]-[CORRETAGEM]-[ISS]-IF(['[D/N']]="D",    0,    [OUTRAS BOVESPA]) - [AJUSTE]</f>
        <v>545.89</v>
      </c>
      <c r="X15" s="15">
        <f>IF(AND(['[D/N']]="D",    [T]="CV",    [LÍQUIDO BASE] &gt; 0),    TRUNC([LÍQUIDO BASE]*0.01, 2),    0)</f>
        <v>0</v>
      </c>
      <c r="Y15" s="15">
        <f>IF([PREÇO] &gt; 0,    [LÍQUIDO BASE]-SUMPRODUCT(N([DATA]=NC[[#This Row],[DATA]]),    [IRRF FONTE]),    0)</f>
        <v>545.89</v>
      </c>
      <c r="Z15" s="20">
        <f>[LÍQUIDO]-SUMPRODUCT(N([DATA]=NC[[#This Row],[DATA]]),N([ID]=(NC[[#This Row],[ID]]-1)),[LÍQUIDO])</f>
        <v>90.079999999999984</v>
      </c>
      <c r="AA15" s="15">
        <f>IF([T] = "VC", ABS([VALOR OP]) / [QTDE], [VALOR OP]/[QTDE])</f>
        <v>0.90079999999999982</v>
      </c>
      <c r="AB15" s="15">
        <f>TRUNC(IF(OR([T]="CV",[T]="VV"),     N15*SETUP!$H$3,     0),2)</f>
        <v>0</v>
      </c>
      <c r="AC15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100</v>
      </c>
      <c r="AD15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0.87989999999999957</v>
      </c>
      <c r="AE15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0.90079999999999982</v>
      </c>
      <c r="AF15" s="19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2.0900000000000252</v>
      </c>
      <c r="AG15" s="15">
        <f>IF([LUCRO TMP] &lt;&gt; 0, [LUCRO TMP] - SUMPRODUCT(N([ATIVO]=NC[[#This Row],[ATIVO]]),N(['[D/N']]="N"),N([ID]&lt;NC[[#This Row],[ID]]),N([PAR]=NC[[#This Row],[PAR]]), [LUCRO TMP]), 0)</f>
        <v>2.0900000000000252</v>
      </c>
      <c r="AH15" s="15">
        <f>IF([U] = "U", SUMPRODUCT(N([ID]&lt;=NC[[#This Row],[ID]]),N([DATA BASE]=NC[[#This Row],[DATA BASE]]), N(['[D/N']] = "N"),    [LUCRO P/ OP]), 0)</f>
        <v>0</v>
      </c>
      <c r="AI15" s="15">
        <f>IF([U] = "U", SUMPRODUCT(N([DATA BASE]=NC[[#This Row],[DATA BASE]]), N(['[D/N']] = "D"),    [LUCRO P/ OP]), 0)</f>
        <v>0</v>
      </c>
      <c r="AJ15" s="15">
        <f>IF([U] = "U", SUMPRODUCT(N([DATA BASE]=NC[[#This Row],[DATA BASE]]), N(['[D/N']] = "D"),    [IRRF FONTE]), 0)</f>
        <v>0</v>
      </c>
      <c r="AK15" s="143">
        <f>NC[[#This Row],[LÍQUIDO]]/NC[[#This Row],[QTDE]]</f>
        <v>5.4588999999999999</v>
      </c>
    </row>
    <row r="16" spans="1:37" ht="11.25" customHeight="1">
      <c r="A16" s="13">
        <v>15</v>
      </c>
      <c r="B16" s="13"/>
      <c r="C16" s="13" t="s">
        <v>50</v>
      </c>
      <c r="D16" s="13" t="s">
        <v>24</v>
      </c>
      <c r="E16" s="14">
        <v>40990</v>
      </c>
      <c r="F16" s="13">
        <v>700</v>
      </c>
      <c r="G16" s="15">
        <v>0.6</v>
      </c>
      <c r="H16" s="78"/>
      <c r="I16" s="19"/>
      <c r="J16" s="13" t="s">
        <v>6</v>
      </c>
      <c r="K16" s="14">
        <f>WORKDAY(NC[[#This Row],[DATA]],1,0)</f>
        <v>40991</v>
      </c>
      <c r="L16" s="22">
        <f>EOMONTH(NC[[#This Row],[DATA DE LIQUIDAÇÃO]],0)</f>
        <v>40999</v>
      </c>
      <c r="M16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16" s="15">
        <f>[QTDE]*[PREÇO]</f>
        <v>420</v>
      </c>
      <c r="O16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-420</v>
      </c>
      <c r="P16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0.11</v>
      </c>
      <c r="Q16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0.15</v>
      </c>
      <c r="R16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0.28999999999999998</v>
      </c>
      <c r="S16" s="15">
        <f>SETUP!$E$3 * IF([PARCIAL] &gt; 0, [QTDE] / [PARCIAL], 1)</f>
        <v>14.9</v>
      </c>
      <c r="T16" s="15">
        <f>SUMPRODUCT(N([DATA]=NC[[#This Row],[DATA]]),N([ID]&lt;=NC[[#This Row],[ID]]), [CORR])</f>
        <v>14.9</v>
      </c>
      <c r="U16" s="15">
        <f>TRUNC([CORRETAGEM]*SETUP!$F$3,2)</f>
        <v>0.28999999999999998</v>
      </c>
      <c r="V16" s="15">
        <f>ROUND([CORRETAGEM]*SETUP!$G$3,2)</f>
        <v>0.57999999999999996</v>
      </c>
      <c r="W16" s="15">
        <f>[VALOR LÍQUIDO DAS OPERAÇÕES]-[TAXA DE LIQUIDAÇÃO]-[EMOLUMENTOS]-[TAXA DE REGISTRO]-[CORRETAGEM]-[ISS]-IF(['[D/N']]="D",    0,    [OUTRAS BOVESPA]) - [AJUSTE]</f>
        <v>-436.32</v>
      </c>
      <c r="X16" s="15">
        <f>IF(AND(['[D/N']]="D",    [T]="CV",    [LÍQUIDO BASE] &gt; 0),    TRUNC([LÍQUIDO BASE]*0.01, 2),    0)</f>
        <v>0</v>
      </c>
      <c r="Y16" s="15">
        <f>IF([PREÇO] &gt; 0,    [LÍQUIDO BASE]-SUMPRODUCT(N([DATA]=NC[[#This Row],[DATA]]),    [IRRF FONTE]),    0)</f>
        <v>-436.32</v>
      </c>
      <c r="Z16" s="20">
        <f>[LÍQUIDO]-SUMPRODUCT(N([DATA]=NC[[#This Row],[DATA]]),N([ID]=(NC[[#This Row],[ID]]-1)),[LÍQUIDO])</f>
        <v>-436.32</v>
      </c>
      <c r="AA16" s="15">
        <f>IF([T] = "VC", ABS([VALOR OP]) / [QTDE], [VALOR OP]/[QTDE])</f>
        <v>-0.62331428571428571</v>
      </c>
      <c r="AB16" s="15">
        <f>TRUNC(IF(OR([T]="CV",[T]="VV"),     N16*SETUP!$H$3,     0),2)</f>
        <v>0</v>
      </c>
      <c r="AC16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700</v>
      </c>
      <c r="AD16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0.62331428571428571</v>
      </c>
      <c r="AE16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16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16" s="15">
        <f>IF([LUCRO TMP] &lt;&gt; 0, [LUCRO TMP] - SUMPRODUCT(N([ATIVO]=NC[[#This Row],[ATIVO]]),N(['[D/N']]="N"),N([ID]&lt;NC[[#This Row],[ID]]),N([PAR]=NC[[#This Row],[PAR]]), [LUCRO TMP]), 0)</f>
        <v>0</v>
      </c>
      <c r="AH16" s="15">
        <f>IF([U] = "U", SUMPRODUCT(N([ID]&lt;=NC[[#This Row],[ID]]),N([DATA BASE]=NC[[#This Row],[DATA BASE]]), N(['[D/N']] = "N"),    [LUCRO P/ OP]), 0)</f>
        <v>0</v>
      </c>
      <c r="AI16" s="15">
        <f>IF([U] = "U", SUMPRODUCT(N([DATA BASE]=NC[[#This Row],[DATA BASE]]), N(['[D/N']] = "D"),    [LUCRO P/ OP]), 0)</f>
        <v>0</v>
      </c>
      <c r="AJ16" s="15">
        <f>IF([U] = "U", SUMPRODUCT(N([DATA BASE]=NC[[#This Row],[DATA BASE]]), N(['[D/N']] = "D"),    [IRRF FONTE]), 0)</f>
        <v>0</v>
      </c>
      <c r="AK16" s="143">
        <f>NC[[#This Row],[LÍQUIDO]]/NC[[#This Row],[QTDE]]</f>
        <v>-0.62331428571428571</v>
      </c>
    </row>
    <row r="17" spans="1:37" ht="11.25" customHeight="1">
      <c r="A17" s="13">
        <v>16</v>
      </c>
      <c r="B17" s="13"/>
      <c r="C17" s="13" t="s">
        <v>51</v>
      </c>
      <c r="D17" s="13" t="s">
        <v>24</v>
      </c>
      <c r="E17" s="14">
        <v>40991</v>
      </c>
      <c r="F17" s="13">
        <v>1700</v>
      </c>
      <c r="G17" s="15">
        <v>0.26</v>
      </c>
      <c r="H17" s="78"/>
      <c r="I17" s="19"/>
      <c r="J17" s="13" t="s">
        <v>6</v>
      </c>
      <c r="K17" s="14">
        <f>WORKDAY(NC[[#This Row],[DATA]],1,0)</f>
        <v>40994</v>
      </c>
      <c r="L17" s="22">
        <f>EOMONTH(NC[[#This Row],[DATA DE LIQUIDAÇÃO]],0)</f>
        <v>40999</v>
      </c>
      <c r="M17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17" s="15">
        <f>[QTDE]*[PREÇO]</f>
        <v>442</v>
      </c>
      <c r="O17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-442</v>
      </c>
      <c r="P17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0.12</v>
      </c>
      <c r="Q17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0.16</v>
      </c>
      <c r="R17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0.3</v>
      </c>
      <c r="S17" s="15">
        <f>SETUP!$E$3 * IF([PARCIAL] &gt; 0, [QTDE] / [PARCIAL], 1)</f>
        <v>14.9</v>
      </c>
      <c r="T17" s="15">
        <f>SUMPRODUCT(N([DATA]=NC[[#This Row],[DATA]]),N([ID]&lt;=NC[[#This Row],[ID]]), [CORR])</f>
        <v>14.9</v>
      </c>
      <c r="U17" s="15">
        <f>TRUNC([CORRETAGEM]*SETUP!$F$3,2)</f>
        <v>0.28999999999999998</v>
      </c>
      <c r="V17" s="15">
        <f>ROUND([CORRETAGEM]*SETUP!$G$3,2)</f>
        <v>0.57999999999999996</v>
      </c>
      <c r="W17" s="15">
        <f>[VALOR LÍQUIDO DAS OPERAÇÕES]-[TAXA DE LIQUIDAÇÃO]-[EMOLUMENTOS]-[TAXA DE REGISTRO]-[CORRETAGEM]-[ISS]-IF(['[D/N']]="D",    0,    [OUTRAS BOVESPA]) - [AJUSTE]</f>
        <v>-458.35</v>
      </c>
      <c r="X17" s="15">
        <f>IF(AND(['[D/N']]="D",    [T]="CV",    [LÍQUIDO BASE] &gt; 0),    TRUNC([LÍQUIDO BASE]*0.01, 2),    0)</f>
        <v>0</v>
      </c>
      <c r="Y17" s="15">
        <f>IF([PREÇO] &gt; 0,    [LÍQUIDO BASE]-SUMPRODUCT(N([DATA]=NC[[#This Row],[DATA]]),    [IRRF FONTE]),    0)</f>
        <v>-458.35</v>
      </c>
      <c r="Z17" s="20">
        <f>[LÍQUIDO]-SUMPRODUCT(N([DATA]=NC[[#This Row],[DATA]]),N([ID]=(NC[[#This Row],[ID]]-1)),[LÍQUIDO])</f>
        <v>-458.35</v>
      </c>
      <c r="AA17" s="15">
        <f>IF([T] = "VC", ABS([VALOR OP]) / [QTDE], [VALOR OP]/[QTDE])</f>
        <v>-0.26961764705882352</v>
      </c>
      <c r="AB17" s="15">
        <f>TRUNC(IF(OR([T]="CV",[T]="VV"),     N17*SETUP!$H$3,     0),2)</f>
        <v>0</v>
      </c>
      <c r="AC17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1700</v>
      </c>
      <c r="AD17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0.26961764705882352</v>
      </c>
      <c r="AE17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17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17" s="15">
        <f>IF([LUCRO TMP] &lt;&gt; 0, [LUCRO TMP] - SUMPRODUCT(N([ATIVO]=NC[[#This Row],[ATIVO]]),N(['[D/N']]="N"),N([ID]&lt;NC[[#This Row],[ID]]),N([PAR]=NC[[#This Row],[PAR]]), [LUCRO TMP]), 0)</f>
        <v>0</v>
      </c>
      <c r="AH17" s="15">
        <f>IF([U] = "U", SUMPRODUCT(N([ID]&lt;=NC[[#This Row],[ID]]),N([DATA BASE]=NC[[#This Row],[DATA BASE]]), N(['[D/N']] = "N"),    [LUCRO P/ OP]), 0)</f>
        <v>0</v>
      </c>
      <c r="AI17" s="15">
        <f>IF([U] = "U", SUMPRODUCT(N([DATA BASE]=NC[[#This Row],[DATA BASE]]), N(['[D/N']] = "D"),    [LUCRO P/ OP]), 0)</f>
        <v>0</v>
      </c>
      <c r="AJ17" s="15">
        <f>IF([U] = "U", SUMPRODUCT(N([DATA BASE]=NC[[#This Row],[DATA BASE]]), N(['[D/N']] = "D"),    [IRRF FONTE]), 0)</f>
        <v>0</v>
      </c>
      <c r="AK17" s="143">
        <f>NC[[#This Row],[LÍQUIDO]]/NC[[#This Row],[QTDE]]</f>
        <v>-0.26961764705882352</v>
      </c>
    </row>
    <row r="18" spans="1:37" ht="11.25" customHeight="1">
      <c r="A18" s="13">
        <v>17</v>
      </c>
      <c r="B18" s="13"/>
      <c r="C18" s="13" t="s">
        <v>50</v>
      </c>
      <c r="D18" s="13" t="s">
        <v>25</v>
      </c>
      <c r="E18" s="14">
        <v>40994</v>
      </c>
      <c r="F18" s="13">
        <v>700</v>
      </c>
      <c r="G18" s="15">
        <v>0.17</v>
      </c>
      <c r="H18" s="78"/>
      <c r="I18" s="19"/>
      <c r="J18" s="13" t="s">
        <v>6</v>
      </c>
      <c r="K18" s="14">
        <f>WORKDAY(NC[[#This Row],[DATA]],1,0)</f>
        <v>40995</v>
      </c>
      <c r="L18" s="22">
        <f>EOMONTH(NC[[#This Row],[DATA DE LIQUIDAÇÃO]],0)</f>
        <v>40999</v>
      </c>
      <c r="M18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18" s="15">
        <f>[QTDE]*[PREÇO]</f>
        <v>119.00000000000001</v>
      </c>
      <c r="O18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119.00000000000001</v>
      </c>
      <c r="P18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0.03</v>
      </c>
      <c r="Q18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0.04</v>
      </c>
      <c r="R18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0.08</v>
      </c>
      <c r="S18" s="15">
        <f>SETUP!$E$3 * IF([PARCIAL] &gt; 0, [QTDE] / [PARCIAL], 1)</f>
        <v>14.9</v>
      </c>
      <c r="T18" s="15">
        <f>SUMPRODUCT(N([DATA]=NC[[#This Row],[DATA]]),N([ID]&lt;=NC[[#This Row],[ID]]), [CORR])</f>
        <v>14.9</v>
      </c>
      <c r="U18" s="15">
        <f>TRUNC([CORRETAGEM]*SETUP!$F$3,2)</f>
        <v>0.28999999999999998</v>
      </c>
      <c r="V18" s="15">
        <f>ROUND([CORRETAGEM]*SETUP!$G$3,2)</f>
        <v>0.57999999999999996</v>
      </c>
      <c r="W18" s="15">
        <f>[VALOR LÍQUIDO DAS OPERAÇÕES]-[TAXA DE LIQUIDAÇÃO]-[EMOLUMENTOS]-[TAXA DE REGISTRO]-[CORRETAGEM]-[ISS]-IF(['[D/N']]="D",    0,    [OUTRAS BOVESPA]) - [AJUSTE]</f>
        <v>103.08</v>
      </c>
      <c r="X18" s="15">
        <f>IF(AND(['[D/N']]="D",    [T]="CV",    [LÍQUIDO BASE] &gt; 0),    TRUNC([LÍQUIDO BASE]*0.01, 2),    0)</f>
        <v>0</v>
      </c>
      <c r="Y18" s="15">
        <f>IF([PREÇO] &gt; 0,    [LÍQUIDO BASE]-SUMPRODUCT(N([DATA]=NC[[#This Row],[DATA]]),    [IRRF FONTE]),    0)</f>
        <v>103.08</v>
      </c>
      <c r="Z18" s="20">
        <f>[LÍQUIDO]-SUMPRODUCT(N([DATA]=NC[[#This Row],[DATA]]),N([ID]=(NC[[#This Row],[ID]]-1)),[LÍQUIDO])</f>
        <v>103.08</v>
      </c>
      <c r="AA18" s="15">
        <f>IF([T] = "VC", ABS([VALOR OP]) / [QTDE], [VALOR OP]/[QTDE])</f>
        <v>0.14725714285714286</v>
      </c>
      <c r="AB18" s="15">
        <f>TRUNC(IF(OR([T]="CV",[T]="VV"),     N18*SETUP!$H$3,     0),2)</f>
        <v>0</v>
      </c>
      <c r="AC18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18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0.62331428571428571</v>
      </c>
      <c r="AE18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0.14725714285714286</v>
      </c>
      <c r="AF18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-333.24</v>
      </c>
      <c r="AG18" s="15">
        <f>IF([LUCRO TMP] &lt;&gt; 0, [LUCRO TMP] - SUMPRODUCT(N([ATIVO]=NC[[#This Row],[ATIVO]]),N(['[D/N']]="N"),N([ID]&lt;NC[[#This Row],[ID]]),N([PAR]=NC[[#This Row],[PAR]]), [LUCRO TMP]), 0)</f>
        <v>-333.24</v>
      </c>
      <c r="AH18" s="15">
        <f>IF([U] = "U", SUMPRODUCT(N([ID]&lt;=NC[[#This Row],[ID]]),N([DATA BASE]=NC[[#This Row],[DATA BASE]]), N(['[D/N']] = "N"),    [LUCRO P/ OP]), 0)</f>
        <v>0</v>
      </c>
      <c r="AI18" s="15">
        <f>IF([U] = "U", SUMPRODUCT(N([DATA BASE]=NC[[#This Row],[DATA BASE]]), N(['[D/N']] = "D"),    [LUCRO P/ OP]), 0)</f>
        <v>0</v>
      </c>
      <c r="AJ18" s="15">
        <f>IF([U] = "U", SUMPRODUCT(N([DATA BASE]=NC[[#This Row],[DATA BASE]]), N(['[D/N']] = "D"),    [IRRF FONTE]), 0)</f>
        <v>0</v>
      </c>
      <c r="AK18" s="143">
        <f>NC[[#This Row],[LÍQUIDO]]/NC[[#This Row],[QTDE]]</f>
        <v>0.14725714285714286</v>
      </c>
    </row>
    <row r="19" spans="1:37" ht="11.25" customHeight="1">
      <c r="A19" s="13">
        <v>18</v>
      </c>
      <c r="B19" s="13"/>
      <c r="C19" s="13" t="s">
        <v>51</v>
      </c>
      <c r="D19" s="13" t="s">
        <v>25</v>
      </c>
      <c r="E19" s="14">
        <v>40997</v>
      </c>
      <c r="F19" s="13">
        <v>1700</v>
      </c>
      <c r="G19" s="15">
        <v>0.08</v>
      </c>
      <c r="H19" s="78"/>
      <c r="I19" s="19"/>
      <c r="J19" s="13" t="s">
        <v>6</v>
      </c>
      <c r="K19" s="14">
        <f>WORKDAY(NC[[#This Row],[DATA]],1,0)</f>
        <v>40998</v>
      </c>
      <c r="L19" s="22">
        <f>EOMONTH(NC[[#This Row],[DATA DE LIQUIDAÇÃO]],0)</f>
        <v>40999</v>
      </c>
      <c r="M19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19" s="15">
        <f>[QTDE]*[PREÇO]</f>
        <v>136</v>
      </c>
      <c r="O19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136</v>
      </c>
      <c r="P19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0.03</v>
      </c>
      <c r="Q19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0.05</v>
      </c>
      <c r="R19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0.09</v>
      </c>
      <c r="S19" s="15">
        <f>SETUP!$E$3 * IF([PARCIAL] &gt; 0, [QTDE] / [PARCIAL], 1)</f>
        <v>14.9</v>
      </c>
      <c r="T19" s="15">
        <f>SUMPRODUCT(N([DATA]=NC[[#This Row],[DATA]]),N([ID]&lt;=NC[[#This Row],[ID]]), [CORR])</f>
        <v>14.9</v>
      </c>
      <c r="U19" s="15">
        <f>TRUNC([CORRETAGEM]*SETUP!$F$3,2)</f>
        <v>0.28999999999999998</v>
      </c>
      <c r="V19" s="15">
        <f>ROUND([CORRETAGEM]*SETUP!$G$3,2)</f>
        <v>0.57999999999999996</v>
      </c>
      <c r="W19" s="15">
        <f>[VALOR LÍQUIDO DAS OPERAÇÕES]-[TAXA DE LIQUIDAÇÃO]-[EMOLUMENTOS]-[TAXA DE REGISTRO]-[CORRETAGEM]-[ISS]-IF(['[D/N']]="D",    0,    [OUTRAS BOVESPA]) - [AJUSTE]</f>
        <v>120.05999999999997</v>
      </c>
      <c r="X19" s="15">
        <f>IF(AND(['[D/N']]="D",    [T]="CV",    [LÍQUIDO BASE] &gt; 0),    TRUNC([LÍQUIDO BASE]*0.01, 2),    0)</f>
        <v>0</v>
      </c>
      <c r="Y19" s="15">
        <f>IF([PREÇO] &gt; 0,    [LÍQUIDO BASE]-SUMPRODUCT(N([DATA]=NC[[#This Row],[DATA]]),    [IRRF FONTE]),    0)</f>
        <v>120.05999999999997</v>
      </c>
      <c r="Z19" s="20">
        <f>[LÍQUIDO]-SUMPRODUCT(N([DATA]=NC[[#This Row],[DATA]]),N([ID]=(NC[[#This Row],[ID]]-1)),[LÍQUIDO])</f>
        <v>120.05999999999997</v>
      </c>
      <c r="AA19" s="15">
        <f>IF([T] = "VC", ABS([VALOR OP]) / [QTDE], [VALOR OP]/[QTDE])</f>
        <v>7.0623529411764696E-2</v>
      </c>
      <c r="AB19" s="15">
        <f>TRUNC(IF(OR([T]="CV",[T]="VV"),     N19*SETUP!$H$3,     0),2)</f>
        <v>0</v>
      </c>
      <c r="AC19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19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0.26961764705882352</v>
      </c>
      <c r="AE19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7.0623529411764696E-2</v>
      </c>
      <c r="AF19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-338.29</v>
      </c>
      <c r="AG19" s="15">
        <f>IF([LUCRO TMP] &lt;&gt; 0, [LUCRO TMP] - SUMPRODUCT(N([ATIVO]=NC[[#This Row],[ATIVO]]),N(['[D/N']]="N"),N([ID]&lt;NC[[#This Row],[ID]]),N([PAR]=NC[[#This Row],[PAR]]), [LUCRO TMP]), 0)</f>
        <v>-338.29</v>
      </c>
      <c r="AH19" s="15">
        <f>IF([U] = "U", SUMPRODUCT(N([ID]&lt;=NC[[#This Row],[ID]]),N([DATA BASE]=NC[[#This Row],[DATA BASE]]), N(['[D/N']] = "N"),    [LUCRO P/ OP]), 0)</f>
        <v>0</v>
      </c>
      <c r="AI19" s="15">
        <f>IF([U] = "U", SUMPRODUCT(N([DATA BASE]=NC[[#This Row],[DATA BASE]]), N(['[D/N']] = "D"),    [LUCRO P/ OP]), 0)</f>
        <v>0</v>
      </c>
      <c r="AJ19" s="15">
        <f>IF([U] = "U", SUMPRODUCT(N([DATA BASE]=NC[[#This Row],[DATA BASE]]), N(['[D/N']] = "D"),    [IRRF FONTE]), 0)</f>
        <v>0</v>
      </c>
      <c r="AK19" s="143">
        <f>NC[[#This Row],[LÍQUIDO]]/NC[[#This Row],[QTDE]]</f>
        <v>7.0623529411764696E-2</v>
      </c>
    </row>
    <row r="20" spans="1:37" ht="11.25" customHeight="1">
      <c r="A20" s="13">
        <v>19</v>
      </c>
      <c r="B20" s="13" t="s">
        <v>49</v>
      </c>
      <c r="C20" s="13" t="s">
        <v>52</v>
      </c>
      <c r="D20" s="13" t="s">
        <v>24</v>
      </c>
      <c r="E20" s="14">
        <v>40997</v>
      </c>
      <c r="F20" s="13">
        <v>1900</v>
      </c>
      <c r="G20" s="15">
        <v>0.24</v>
      </c>
      <c r="H20" s="78"/>
      <c r="I20" s="19"/>
      <c r="J20" s="13" t="s">
        <v>6</v>
      </c>
      <c r="K20" s="14">
        <f>WORKDAY(NC[[#This Row],[DATA]],1,0)</f>
        <v>40998</v>
      </c>
      <c r="L20" s="22">
        <f>EOMONTH(NC[[#This Row],[DATA DE LIQUIDAÇÃO]],0)</f>
        <v>40999</v>
      </c>
      <c r="M20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20" s="15">
        <f>[QTDE]*[PREÇO]</f>
        <v>456</v>
      </c>
      <c r="O20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-320</v>
      </c>
      <c r="P20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0.16</v>
      </c>
      <c r="Q20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0.21</v>
      </c>
      <c r="R20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0.41</v>
      </c>
      <c r="S20" s="15">
        <f>SETUP!$E$3 * IF([PARCIAL] &gt; 0, [QTDE] / [PARCIAL], 1)</f>
        <v>14.9</v>
      </c>
      <c r="T20" s="15">
        <f>SUMPRODUCT(N([DATA]=NC[[#This Row],[DATA]]),N([ID]&lt;=NC[[#This Row],[ID]]), [CORR])</f>
        <v>29.8</v>
      </c>
      <c r="U20" s="15">
        <f>TRUNC([CORRETAGEM]*SETUP!$F$3,2)</f>
        <v>0.59</v>
      </c>
      <c r="V20" s="15">
        <f>ROUND([CORRETAGEM]*SETUP!$G$3,2)</f>
        <v>1.1599999999999999</v>
      </c>
      <c r="W20" s="15">
        <f>[VALOR LÍQUIDO DAS OPERAÇÕES]-[TAXA DE LIQUIDAÇÃO]-[EMOLUMENTOS]-[TAXA DE REGISTRO]-[CORRETAGEM]-[ISS]-IF(['[D/N']]="D",    0,    [OUTRAS BOVESPA]) - [AJUSTE]</f>
        <v>-352.33000000000004</v>
      </c>
      <c r="X20" s="15">
        <f>IF(AND(['[D/N']]="D",    [T]="CV",    [LÍQUIDO BASE] &gt; 0),    TRUNC([LÍQUIDO BASE]*0.01, 2),    0)</f>
        <v>0</v>
      </c>
      <c r="Y20" s="15">
        <f>IF([PREÇO] &gt; 0,    [LÍQUIDO BASE]-SUMPRODUCT(N([DATA]=NC[[#This Row],[DATA]]),    [IRRF FONTE]),    0)</f>
        <v>-352.33000000000004</v>
      </c>
      <c r="Z20" s="20">
        <f>[LÍQUIDO]-SUMPRODUCT(N([DATA]=NC[[#This Row],[DATA]]),N([ID]=(NC[[#This Row],[ID]]-1)),[LÍQUIDO])</f>
        <v>-472.39</v>
      </c>
      <c r="AA20" s="15">
        <f>IF([T] = "VC", ABS([VALOR OP]) / [QTDE], [VALOR OP]/[QTDE])</f>
        <v>-0.24862631578947367</v>
      </c>
      <c r="AB20" s="15">
        <f>TRUNC(IF(OR([T]="CV",[T]="VV"),     N20*SETUP!$H$3,     0),2)</f>
        <v>0</v>
      </c>
      <c r="AC20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1900</v>
      </c>
      <c r="AD20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0.24862631578947367</v>
      </c>
      <c r="AE20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20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20" s="15">
        <f>IF([LUCRO TMP] &lt;&gt; 0, [LUCRO TMP] - SUMPRODUCT(N([ATIVO]=NC[[#This Row],[ATIVO]]),N(['[D/N']]="N"),N([ID]&lt;NC[[#This Row],[ID]]),N([PAR]=NC[[#This Row],[PAR]]), [LUCRO TMP]), 0)</f>
        <v>0</v>
      </c>
      <c r="AH20" s="15">
        <f>IF([U] = "U", SUMPRODUCT(N([ID]&lt;=NC[[#This Row],[ID]]),N([DATA BASE]=NC[[#This Row],[DATA BASE]]), N(['[D/N']] = "N"),    [LUCRO P/ OP]), 0)</f>
        <v>-656.81000000000017</v>
      </c>
      <c r="AI20" s="15">
        <f>IF([U] = "U", SUMPRODUCT(N([DATA BASE]=NC[[#This Row],[DATA BASE]]), N(['[D/N']] = "D"),    [LUCRO P/ OP]), 0)</f>
        <v>478.50999999999988</v>
      </c>
      <c r="AJ20" s="15">
        <f>IF([U] = "U", SUMPRODUCT(N([DATA BASE]=NC[[#This Row],[DATA BASE]]), N(['[D/N']] = "D"),    [IRRF FONTE]), 0)</f>
        <v>4.78</v>
      </c>
      <c r="AK20" s="143">
        <f>NC[[#This Row],[LÍQUIDO]]/NC[[#This Row],[QTDE]]</f>
        <v>-0.18543684210526318</v>
      </c>
    </row>
    <row r="21" spans="1:37">
      <c r="A21" s="13">
        <v>20</v>
      </c>
      <c r="B21" s="13"/>
      <c r="C21" s="13" t="s">
        <v>31</v>
      </c>
      <c r="D21" s="13" t="s">
        <v>24</v>
      </c>
      <c r="E21" s="14">
        <v>40998</v>
      </c>
      <c r="F21" s="13">
        <v>1200</v>
      </c>
      <c r="G21" s="15">
        <v>0.38</v>
      </c>
      <c r="H21" s="78"/>
      <c r="I21" s="19"/>
      <c r="J21" s="13" t="s">
        <v>6</v>
      </c>
      <c r="K21" s="14">
        <f>WORKDAY(NC[[#This Row],[DATA]],1,0)</f>
        <v>41001</v>
      </c>
      <c r="L21" s="22">
        <f>EOMONTH(NC[[#This Row],[DATA DE LIQUIDAÇÃO]],0)</f>
        <v>41029</v>
      </c>
      <c r="M21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21" s="15">
        <f>[QTDE]*[PREÇO]</f>
        <v>456</v>
      </c>
      <c r="O21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-456</v>
      </c>
      <c r="P21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0.12</v>
      </c>
      <c r="Q21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0.16</v>
      </c>
      <c r="R21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0.31</v>
      </c>
      <c r="S21" s="15">
        <f>SETUP!$E$3 * IF([PARCIAL] &gt; 0, [QTDE] / [PARCIAL], 1)</f>
        <v>14.9</v>
      </c>
      <c r="T21" s="15">
        <f>SUMPRODUCT(N([DATA]=NC[[#This Row],[DATA]]),N([ID]&lt;=NC[[#This Row],[ID]]), [CORR])</f>
        <v>14.9</v>
      </c>
      <c r="U21" s="15">
        <f>TRUNC([CORRETAGEM]*SETUP!$F$3,2)</f>
        <v>0.28999999999999998</v>
      </c>
      <c r="V21" s="15">
        <f>ROUND([CORRETAGEM]*SETUP!$G$3,2)</f>
        <v>0.57999999999999996</v>
      </c>
      <c r="W21" s="15">
        <f>[VALOR LÍQUIDO DAS OPERAÇÕES]-[TAXA DE LIQUIDAÇÃO]-[EMOLUMENTOS]-[TAXA DE REGISTRO]-[CORRETAGEM]-[ISS]-IF(['[D/N']]="D",    0,    [OUTRAS BOVESPA]) - [AJUSTE]</f>
        <v>-472.36</v>
      </c>
      <c r="X21" s="15">
        <f>IF(AND(['[D/N']]="D",    [T]="CV",    [LÍQUIDO BASE] &gt; 0),    TRUNC([LÍQUIDO BASE]*0.01, 2),    0)</f>
        <v>0</v>
      </c>
      <c r="Y21" s="15">
        <f>IF([PREÇO] &gt; 0,    [LÍQUIDO BASE]-SUMPRODUCT(N([DATA]=NC[[#This Row],[DATA]]),    [IRRF FONTE]),    0)</f>
        <v>-472.36</v>
      </c>
      <c r="Z21" s="20">
        <f>[LÍQUIDO]-SUMPRODUCT(N([DATA]=NC[[#This Row],[DATA]]),N([ID]=(NC[[#This Row],[ID]]-1)),[LÍQUIDO])</f>
        <v>-472.36</v>
      </c>
      <c r="AA21" s="15">
        <f>IF([T] = "VC", ABS([VALOR OP]) / [QTDE], [VALOR OP]/[QTDE])</f>
        <v>-0.39363333333333334</v>
      </c>
      <c r="AB21" s="15">
        <f>TRUNC(IF(OR([T]="CV",[T]="VV"),     N21*SETUP!$H$3,     0),2)</f>
        <v>0</v>
      </c>
      <c r="AC21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1300</v>
      </c>
      <c r="AD21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0.42943076923076923</v>
      </c>
      <c r="AE21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21" s="19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21" s="15">
        <f>IF([LUCRO TMP] &lt;&gt; 0, [LUCRO TMP] - SUMPRODUCT(N([ATIVO]=NC[[#This Row],[ATIVO]]),N(['[D/N']]="N"),N([ID]&lt;NC[[#This Row],[ID]]),N([PAR]=NC[[#This Row],[PAR]]), [LUCRO TMP]), 0)</f>
        <v>0</v>
      </c>
      <c r="AH21" s="15">
        <f>IF([U] = "U", SUMPRODUCT(N([ID]&lt;=NC[[#This Row],[ID]]),N([DATA BASE]=NC[[#This Row],[DATA BASE]]), N(['[D/N']] = "N"),    [LUCRO P/ OP]), 0)</f>
        <v>0</v>
      </c>
      <c r="AI21" s="15">
        <f>IF([U] = "U", SUMPRODUCT(N([DATA BASE]=NC[[#This Row],[DATA BASE]]), N(['[D/N']] = "D"),    [LUCRO P/ OP]), 0)</f>
        <v>0</v>
      </c>
      <c r="AJ21" s="15">
        <f>IF([U] = "U", SUMPRODUCT(N([DATA BASE]=NC[[#This Row],[DATA BASE]]), N(['[D/N']] = "D"),    [IRRF FONTE]), 0)</f>
        <v>0</v>
      </c>
      <c r="AK21" s="143">
        <f>NC[[#This Row],[LÍQUIDO]]/NC[[#This Row],[QTDE]]</f>
        <v>-0.39363333333333334</v>
      </c>
    </row>
    <row r="22" spans="1:37" ht="11.25" customHeight="1">
      <c r="A22" s="13">
        <v>21</v>
      </c>
      <c r="B22" s="13"/>
      <c r="C22" s="13" t="s">
        <v>51</v>
      </c>
      <c r="D22" s="13" t="s">
        <v>24</v>
      </c>
      <c r="E22" s="14">
        <v>41001</v>
      </c>
      <c r="F22" s="13">
        <v>3000</v>
      </c>
      <c r="G22" s="15">
        <v>0.16</v>
      </c>
      <c r="H22" s="78"/>
      <c r="I22" s="19"/>
      <c r="J22" s="13" t="s">
        <v>6</v>
      </c>
      <c r="K22" s="14">
        <f>WORKDAY(NC[[#This Row],[DATA]],1,0)</f>
        <v>41002</v>
      </c>
      <c r="L22" s="22">
        <f>EOMONTH(NC[[#This Row],[DATA DE LIQUIDAÇÃO]],0)</f>
        <v>41029</v>
      </c>
      <c r="M22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3</v>
      </c>
      <c r="N22" s="15">
        <f>[QTDE]*[PREÇO]</f>
        <v>480</v>
      </c>
      <c r="O22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-480</v>
      </c>
      <c r="P22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0.13</v>
      </c>
      <c r="Q22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0.17</v>
      </c>
      <c r="R22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0.33</v>
      </c>
      <c r="S22" s="15">
        <f>SETUP!$E$3 * IF([PARCIAL] &gt; 0, [QTDE] / [PARCIAL], 1)</f>
        <v>14.9</v>
      </c>
      <c r="T22" s="15">
        <f>SUMPRODUCT(N([DATA]=NC[[#This Row],[DATA]]),N([ID]&lt;=NC[[#This Row],[ID]]), [CORR])</f>
        <v>14.9</v>
      </c>
      <c r="U22" s="15">
        <f>TRUNC([CORRETAGEM]*SETUP!$F$3,2)</f>
        <v>0.28999999999999998</v>
      </c>
      <c r="V22" s="15">
        <f>ROUND([CORRETAGEM]*SETUP!$G$3,2)</f>
        <v>0.57999999999999996</v>
      </c>
      <c r="W22" s="15">
        <f>[VALOR LÍQUIDO DAS OPERAÇÕES]-[TAXA DE LIQUIDAÇÃO]-[EMOLUMENTOS]-[TAXA DE REGISTRO]-[CORRETAGEM]-[ISS]-IF(['[D/N']]="D",    0,    [OUTRAS BOVESPA]) - [AJUSTE]</f>
        <v>-496.4</v>
      </c>
      <c r="X22" s="15">
        <f>IF(AND(['[D/N']]="D",    [T]="CV",    [LÍQUIDO BASE] &gt; 0),    TRUNC([LÍQUIDO BASE]*0.01, 2),    0)</f>
        <v>0</v>
      </c>
      <c r="Y22" s="15">
        <f>IF([PREÇO] &gt; 0,    [LÍQUIDO BASE]-SUMPRODUCT(N([DATA]=NC[[#This Row],[DATA]]),    [IRRF FONTE]),    0)</f>
        <v>-496.4</v>
      </c>
      <c r="Z22" s="20">
        <f>[LÍQUIDO]-SUMPRODUCT(N([DATA]=NC[[#This Row],[DATA]]),N([ID]=(NC[[#This Row],[ID]]-1)),[LÍQUIDO])</f>
        <v>-496.4</v>
      </c>
      <c r="AA22" s="15">
        <f>IF([T] = "VC", ABS([VALOR OP]) / [QTDE], [VALOR OP]/[QTDE])</f>
        <v>-0.16546666666666665</v>
      </c>
      <c r="AB22" s="15">
        <f>TRUNC(IF(OR([T]="CV",[T]="VV"),     N22*SETUP!$H$3,     0),2)</f>
        <v>0</v>
      </c>
      <c r="AC22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3000</v>
      </c>
      <c r="AD22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0.16546666666666665</v>
      </c>
      <c r="AE22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22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22" s="15">
        <f>IF([LUCRO TMP] &lt;&gt; 0, [LUCRO TMP] - SUMPRODUCT(N([ATIVO]=NC[[#This Row],[ATIVO]]),N(['[D/N']]="N"),N([ID]&lt;NC[[#This Row],[ID]]),N([PAR]=NC[[#This Row],[PAR]]), [LUCRO TMP]), 0)</f>
        <v>0</v>
      </c>
      <c r="AH22" s="15">
        <f>IF([U] = "U", SUMPRODUCT(N([ID]&lt;=NC[[#This Row],[ID]]),N([DATA BASE]=NC[[#This Row],[DATA BASE]]), N(['[D/N']] = "N"),    [LUCRO P/ OP]), 0)</f>
        <v>0</v>
      </c>
      <c r="AI22" s="15">
        <f>IF([U] = "U", SUMPRODUCT(N([DATA BASE]=NC[[#This Row],[DATA BASE]]), N(['[D/N']] = "D"),    [LUCRO P/ OP]), 0)</f>
        <v>0</v>
      </c>
      <c r="AJ22" s="15">
        <f>IF([U] = "U", SUMPRODUCT(N([DATA BASE]=NC[[#This Row],[DATA BASE]]), N(['[D/N']] = "D"),    [IRRF FONTE]), 0)</f>
        <v>0</v>
      </c>
      <c r="AK22" s="143">
        <f>NC[[#This Row],[LÍQUIDO]]/NC[[#This Row],[QTDE]]</f>
        <v>-0.16546666666666665</v>
      </c>
    </row>
    <row r="23" spans="1:37" ht="11.25" customHeight="1">
      <c r="A23" s="13">
        <v>22</v>
      </c>
      <c r="B23" s="13"/>
      <c r="C23" s="13" t="s">
        <v>52</v>
      </c>
      <c r="D23" s="13" t="s">
        <v>25</v>
      </c>
      <c r="E23" s="14">
        <v>41002</v>
      </c>
      <c r="F23" s="13">
        <v>1900</v>
      </c>
      <c r="G23" s="15">
        <v>0.09</v>
      </c>
      <c r="H23" s="78"/>
      <c r="I23" s="19"/>
      <c r="J23" s="13" t="s">
        <v>6</v>
      </c>
      <c r="K23" s="14">
        <f>WORKDAY(NC[[#This Row],[DATA]],1,0)</f>
        <v>41003</v>
      </c>
      <c r="L23" s="22">
        <f>EOMONTH(NC[[#This Row],[DATA DE LIQUIDAÇÃO]],0)</f>
        <v>41029</v>
      </c>
      <c r="M23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23" s="15">
        <f>[QTDE]*[PREÇO]</f>
        <v>171</v>
      </c>
      <c r="O23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171</v>
      </c>
      <c r="P23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0.04</v>
      </c>
      <c r="Q23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0.06</v>
      </c>
      <c r="R23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0.11</v>
      </c>
      <c r="S23" s="15">
        <f>SETUP!$E$3 * IF([PARCIAL] &gt; 0, [QTDE] / [PARCIAL], 1)</f>
        <v>14.9</v>
      </c>
      <c r="T23" s="15">
        <f>SUMPRODUCT(N([DATA]=NC[[#This Row],[DATA]]),N([ID]&lt;=NC[[#This Row],[ID]]), [CORR])</f>
        <v>14.9</v>
      </c>
      <c r="U23" s="15">
        <f>TRUNC([CORRETAGEM]*SETUP!$F$3,2)</f>
        <v>0.28999999999999998</v>
      </c>
      <c r="V23" s="15">
        <f>ROUND([CORRETAGEM]*SETUP!$G$3,2)</f>
        <v>0.57999999999999996</v>
      </c>
      <c r="W23" s="15">
        <f>[VALOR LÍQUIDO DAS OPERAÇÕES]-[TAXA DE LIQUIDAÇÃO]-[EMOLUMENTOS]-[TAXA DE REGISTRO]-[CORRETAGEM]-[ISS]-IF(['[D/N']]="D",    0,    [OUTRAS BOVESPA]) - [AJUSTE]</f>
        <v>155.01999999999998</v>
      </c>
      <c r="X23" s="15">
        <f>IF(AND(['[D/N']]="D",    [T]="CV",    [LÍQUIDO BASE] &gt; 0),    TRUNC([LÍQUIDO BASE]*0.01, 2),    0)</f>
        <v>0</v>
      </c>
      <c r="Y23" s="15">
        <f>IF([PREÇO] &gt; 0,    [LÍQUIDO BASE]-SUMPRODUCT(N([DATA]=NC[[#This Row],[DATA]]),    [IRRF FONTE]),    0)</f>
        <v>155.01999999999998</v>
      </c>
      <c r="Z23" s="20">
        <f>[LÍQUIDO]-SUMPRODUCT(N([DATA]=NC[[#This Row],[DATA]]),N([ID]=(NC[[#This Row],[ID]]-1)),[LÍQUIDO])</f>
        <v>155.01999999999998</v>
      </c>
      <c r="AA23" s="15">
        <f>IF([T] = "VC", ABS([VALOR OP]) / [QTDE], [VALOR OP]/[QTDE])</f>
        <v>8.1589473684210517E-2</v>
      </c>
      <c r="AB23" s="15">
        <f>TRUNC(IF(OR([T]="CV",[T]="VV"),     N23*SETUP!$H$3,     0),2)</f>
        <v>0</v>
      </c>
      <c r="AC23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23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0.24862631578947367</v>
      </c>
      <c r="AE23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8.1589473684210517E-2</v>
      </c>
      <c r="AF23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-317.37</v>
      </c>
      <c r="AG23" s="15">
        <f>IF([LUCRO TMP] &lt;&gt; 0, [LUCRO TMP] - SUMPRODUCT(N([ATIVO]=NC[[#This Row],[ATIVO]]),N(['[D/N']]="N"),N([ID]&lt;NC[[#This Row],[ID]]),N([PAR]=NC[[#This Row],[PAR]]), [LUCRO TMP]), 0)</f>
        <v>-317.37</v>
      </c>
      <c r="AH23" s="15">
        <f>IF([U] = "U", SUMPRODUCT(N([ID]&lt;=NC[[#This Row],[ID]]),N([DATA BASE]=NC[[#This Row],[DATA BASE]]), N(['[D/N']] = "N"),    [LUCRO P/ OP]), 0)</f>
        <v>0</v>
      </c>
      <c r="AI23" s="15">
        <f>IF([U] = "U", SUMPRODUCT(N([DATA BASE]=NC[[#This Row],[DATA BASE]]), N(['[D/N']] = "D"),    [LUCRO P/ OP]), 0)</f>
        <v>0</v>
      </c>
      <c r="AJ23" s="15">
        <f>IF([U] = "U", SUMPRODUCT(N([DATA BASE]=NC[[#This Row],[DATA BASE]]), N(['[D/N']] = "D"),    [IRRF FONTE]), 0)</f>
        <v>0</v>
      </c>
      <c r="AK23" s="143">
        <f>NC[[#This Row],[LÍQUIDO]]/NC[[#This Row],[QTDE]]</f>
        <v>8.1589473684210517E-2</v>
      </c>
    </row>
    <row r="24" spans="1:37">
      <c r="A24" s="13">
        <v>23</v>
      </c>
      <c r="B24" s="13"/>
      <c r="C24" s="13" t="s">
        <v>31</v>
      </c>
      <c r="D24" s="13" t="s">
        <v>25</v>
      </c>
      <c r="E24" s="14">
        <v>41003</v>
      </c>
      <c r="F24" s="13">
        <v>1300</v>
      </c>
      <c r="G24" s="15">
        <v>0.05</v>
      </c>
      <c r="H24" s="78"/>
      <c r="I24" s="19"/>
      <c r="J24" s="13" t="s">
        <v>6</v>
      </c>
      <c r="K24" s="14">
        <f>WORKDAY(NC[[#This Row],[DATA]],1,0)</f>
        <v>41004</v>
      </c>
      <c r="L24" s="22">
        <f>EOMONTH(NC[[#This Row],[DATA DE LIQUIDAÇÃO]],0)</f>
        <v>41029</v>
      </c>
      <c r="M24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24" s="15">
        <f>[QTDE]*[PREÇO]</f>
        <v>65</v>
      </c>
      <c r="O24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65</v>
      </c>
      <c r="P24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0.01</v>
      </c>
      <c r="Q24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0.02</v>
      </c>
      <c r="R24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0.04</v>
      </c>
      <c r="S24" s="15">
        <f>SETUP!$E$3 * IF([PARCIAL] &gt; 0, [QTDE] / [PARCIAL], 1)</f>
        <v>14.9</v>
      </c>
      <c r="T24" s="15">
        <f>SUMPRODUCT(N([DATA]=NC[[#This Row],[DATA]]),N([ID]&lt;=NC[[#This Row],[ID]]), [CORR])</f>
        <v>14.9</v>
      </c>
      <c r="U24" s="15">
        <f>TRUNC([CORRETAGEM]*SETUP!$F$3,2)</f>
        <v>0.28999999999999998</v>
      </c>
      <c r="V24" s="15">
        <f>ROUND([CORRETAGEM]*SETUP!$G$3,2)</f>
        <v>0.57999999999999996</v>
      </c>
      <c r="W24" s="15">
        <f>[VALOR LÍQUIDO DAS OPERAÇÕES]-[TAXA DE LIQUIDAÇÃO]-[EMOLUMENTOS]-[TAXA DE REGISTRO]-[CORRETAGEM]-[ISS]-IF(['[D/N']]="D",    0,    [OUTRAS BOVESPA]) - [AJUSTE]</f>
        <v>49.16</v>
      </c>
      <c r="X24" s="15">
        <f>IF(AND(['[D/N']]="D",    [T]="CV",    [LÍQUIDO BASE] &gt; 0),    TRUNC([LÍQUIDO BASE]*0.01, 2),    0)</f>
        <v>0</v>
      </c>
      <c r="Y24" s="15">
        <f>IF([PREÇO] &gt; 0,    [LÍQUIDO BASE]-SUMPRODUCT(N([DATA]=NC[[#This Row],[DATA]]),    [IRRF FONTE]),    0)</f>
        <v>49.16</v>
      </c>
      <c r="Z24" s="20">
        <f>[LÍQUIDO]-SUMPRODUCT(N([DATA]=NC[[#This Row],[DATA]]),N([ID]=(NC[[#This Row],[ID]]-1)),[LÍQUIDO])</f>
        <v>49.16</v>
      </c>
      <c r="AA24" s="15">
        <f>IF([T] = "VC", ABS([VALOR OP]) / [QTDE], [VALOR OP]/[QTDE])</f>
        <v>3.7815384615384612E-2</v>
      </c>
      <c r="AB24" s="15">
        <f>TRUNC(IF(OR([T]="CV",[T]="VV"),     N24*SETUP!$H$3,     0),2)</f>
        <v>0</v>
      </c>
      <c r="AC24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24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0.42943076923076923</v>
      </c>
      <c r="AE24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3.7815384615384612E-2</v>
      </c>
      <c r="AF24" s="19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-509.09999999999997</v>
      </c>
      <c r="AG24" s="15">
        <f>IF([LUCRO TMP] &lt;&gt; 0, [LUCRO TMP] - SUMPRODUCT(N([ATIVO]=NC[[#This Row],[ATIVO]]),N(['[D/N']]="N"),N([ID]&lt;NC[[#This Row],[ID]]),N([PAR]=NC[[#This Row],[PAR]]), [LUCRO TMP]), 0)</f>
        <v>-511.19</v>
      </c>
      <c r="AH24" s="15">
        <f>IF([U] = "U", SUMPRODUCT(N([ID]&lt;=NC[[#This Row],[ID]]),N([DATA BASE]=NC[[#This Row],[DATA BASE]]), N(['[D/N']] = "N"),    [LUCRO P/ OP]), 0)</f>
        <v>0</v>
      </c>
      <c r="AI24" s="15">
        <f>IF([U] = "U", SUMPRODUCT(N([DATA BASE]=NC[[#This Row],[DATA BASE]]), N(['[D/N']] = "D"),    [LUCRO P/ OP]), 0)</f>
        <v>0</v>
      </c>
      <c r="AJ24" s="15">
        <f>IF([U] = "U", SUMPRODUCT(N([DATA BASE]=NC[[#This Row],[DATA BASE]]), N(['[D/N']] = "D"),    [IRRF FONTE]), 0)</f>
        <v>0</v>
      </c>
      <c r="AK24" s="143">
        <f>NC[[#This Row],[LÍQUIDO]]/NC[[#This Row],[QTDE]]</f>
        <v>3.7815384615384612E-2</v>
      </c>
    </row>
    <row r="25" spans="1:37" ht="11.25" customHeight="1">
      <c r="A25" s="13">
        <v>24</v>
      </c>
      <c r="B25" s="13"/>
      <c r="C25" s="13" t="s">
        <v>54</v>
      </c>
      <c r="D25" s="13" t="s">
        <v>24</v>
      </c>
      <c r="E25" s="14">
        <v>41004</v>
      </c>
      <c r="F25" s="13">
        <v>800</v>
      </c>
      <c r="G25" s="15">
        <v>0.5</v>
      </c>
      <c r="H25" s="78"/>
      <c r="I25" s="19"/>
      <c r="J25" s="13" t="s">
        <v>6</v>
      </c>
      <c r="K25" s="14">
        <f>WORKDAY(NC[[#This Row],[DATA]],1,0)</f>
        <v>41005</v>
      </c>
      <c r="L25" s="22">
        <f>EOMONTH(NC[[#This Row],[DATA DE LIQUIDAÇÃO]],0)</f>
        <v>41029</v>
      </c>
      <c r="M25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25" s="15">
        <f>[QTDE]*[PREÇO]</f>
        <v>400</v>
      </c>
      <c r="O25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-400</v>
      </c>
      <c r="P25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0.11</v>
      </c>
      <c r="Q25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0.14000000000000001</v>
      </c>
      <c r="R25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0.27</v>
      </c>
      <c r="S25" s="15">
        <f>SETUP!$E$3 * IF([PARCIAL] &gt; 0, [QTDE] / [PARCIAL], 1)</f>
        <v>14.9</v>
      </c>
      <c r="T25" s="15">
        <f>SUMPRODUCT(N([DATA]=NC[[#This Row],[DATA]]),N([ID]&lt;=NC[[#This Row],[ID]]), [CORR])</f>
        <v>14.9</v>
      </c>
      <c r="U25" s="15">
        <f>TRUNC([CORRETAGEM]*SETUP!$F$3,2)</f>
        <v>0.28999999999999998</v>
      </c>
      <c r="V25" s="15">
        <f>ROUND([CORRETAGEM]*SETUP!$G$3,2)</f>
        <v>0.57999999999999996</v>
      </c>
      <c r="W25" s="15">
        <f>[VALOR LÍQUIDO DAS OPERAÇÕES]-[TAXA DE LIQUIDAÇÃO]-[EMOLUMENTOS]-[TAXA DE REGISTRO]-[CORRETAGEM]-[ISS]-IF(['[D/N']]="D",    0,    [OUTRAS BOVESPA]) - [AJUSTE]</f>
        <v>-416.28999999999996</v>
      </c>
      <c r="X25" s="15">
        <f>IF(AND(['[D/N']]="D",    [T]="CV",    [LÍQUIDO BASE] &gt; 0),    TRUNC([LÍQUIDO BASE]*0.01, 2),    0)</f>
        <v>0</v>
      </c>
      <c r="Y25" s="15">
        <f>IF([PREÇO] &gt; 0,    [LÍQUIDO BASE]-SUMPRODUCT(N([DATA]=NC[[#This Row],[DATA]]),    [IRRF FONTE]),    0)</f>
        <v>-416.28999999999996</v>
      </c>
      <c r="Z25" s="20">
        <f>[LÍQUIDO]-SUMPRODUCT(N([DATA]=NC[[#This Row],[DATA]]),N([ID]=(NC[[#This Row],[ID]]-1)),[LÍQUIDO])</f>
        <v>-416.28999999999996</v>
      </c>
      <c r="AA25" s="15">
        <f>IF([T] = "VC", ABS([VALOR OP]) / [QTDE], [VALOR OP]/[QTDE])</f>
        <v>-0.52036249999999995</v>
      </c>
      <c r="AB25" s="15">
        <f>TRUNC(IF(OR([T]="CV",[T]="VV"),     N25*SETUP!$H$3,     0),2)</f>
        <v>0</v>
      </c>
      <c r="AC25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800</v>
      </c>
      <c r="AD25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0.52036249999999995</v>
      </c>
      <c r="AE25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25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25" s="15">
        <f>IF([LUCRO TMP] &lt;&gt; 0, [LUCRO TMP] - SUMPRODUCT(N([ATIVO]=NC[[#This Row],[ATIVO]]),N(['[D/N']]="N"),N([ID]&lt;NC[[#This Row],[ID]]),N([PAR]=NC[[#This Row],[PAR]]), [LUCRO TMP]), 0)</f>
        <v>0</v>
      </c>
      <c r="AH25" s="15">
        <f>IF([U] = "U", SUMPRODUCT(N([ID]&lt;=NC[[#This Row],[ID]]),N([DATA BASE]=NC[[#This Row],[DATA BASE]]), N(['[D/N']] = "N"),    [LUCRO P/ OP]), 0)</f>
        <v>0</v>
      </c>
      <c r="AI25" s="15">
        <f>IF([U] = "U", SUMPRODUCT(N([DATA BASE]=NC[[#This Row],[DATA BASE]]), N(['[D/N']] = "D"),    [LUCRO P/ OP]), 0)</f>
        <v>0</v>
      </c>
      <c r="AJ25" s="15">
        <f>IF([U] = "U", SUMPRODUCT(N([DATA BASE]=NC[[#This Row],[DATA BASE]]), N(['[D/N']] = "D"),    [IRRF FONTE]), 0)</f>
        <v>0</v>
      </c>
      <c r="AK25" s="143">
        <f>NC[[#This Row],[LÍQUIDO]]/NC[[#This Row],[QTDE]]</f>
        <v>-0.52036249999999995</v>
      </c>
    </row>
    <row r="26" spans="1:37" ht="11.25" customHeight="1">
      <c r="A26" s="13">
        <v>25</v>
      </c>
      <c r="B26" s="13"/>
      <c r="C26" s="13" t="s">
        <v>54</v>
      </c>
      <c r="D26" s="13" t="s">
        <v>25</v>
      </c>
      <c r="E26" s="14">
        <v>41010</v>
      </c>
      <c r="F26" s="13">
        <v>800</v>
      </c>
      <c r="G26" s="15">
        <v>1</v>
      </c>
      <c r="H26" s="78"/>
      <c r="I26" s="19"/>
      <c r="J26" s="13" t="s">
        <v>6</v>
      </c>
      <c r="K26" s="14">
        <f>WORKDAY(NC[[#This Row],[DATA]],1,0)</f>
        <v>41011</v>
      </c>
      <c r="L26" s="22">
        <f>EOMONTH(NC[[#This Row],[DATA DE LIQUIDAÇÃO]],0)</f>
        <v>41029</v>
      </c>
      <c r="M26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26" s="15">
        <f>[QTDE]*[PREÇO]</f>
        <v>800</v>
      </c>
      <c r="O26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800</v>
      </c>
      <c r="P26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0.22</v>
      </c>
      <c r="Q26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0.28999999999999998</v>
      </c>
      <c r="R26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0.55000000000000004</v>
      </c>
      <c r="S26" s="15">
        <f>SETUP!$E$3 * IF([PARCIAL] &gt; 0, [QTDE] / [PARCIAL], 1)</f>
        <v>14.9</v>
      </c>
      <c r="T26" s="15">
        <f>SUMPRODUCT(N([DATA]=NC[[#This Row],[DATA]]),N([ID]&lt;=NC[[#This Row],[ID]]), [CORR])</f>
        <v>14.9</v>
      </c>
      <c r="U26" s="15">
        <f>TRUNC([CORRETAGEM]*SETUP!$F$3,2)</f>
        <v>0.28999999999999998</v>
      </c>
      <c r="V26" s="15">
        <f>ROUND([CORRETAGEM]*SETUP!$G$3,2)</f>
        <v>0.57999999999999996</v>
      </c>
      <c r="W26" s="15">
        <f>[VALOR LÍQUIDO DAS OPERAÇÕES]-[TAXA DE LIQUIDAÇÃO]-[EMOLUMENTOS]-[TAXA DE REGISTRO]-[CORRETAGEM]-[ISS]-IF(['[D/N']]="D",    0,    [OUTRAS BOVESPA]) - [AJUSTE]</f>
        <v>783.17000000000007</v>
      </c>
      <c r="X26" s="15">
        <f>IF(AND(['[D/N']]="D",    [T]="CV",    [LÍQUIDO BASE] &gt; 0),    TRUNC([LÍQUIDO BASE]*0.01, 2),    0)</f>
        <v>0</v>
      </c>
      <c r="Y26" s="15">
        <f>IF([PREÇO] &gt; 0,    [LÍQUIDO BASE]-SUMPRODUCT(N([DATA]=NC[[#This Row],[DATA]]),    [IRRF FONTE]),    0)</f>
        <v>783.17000000000007</v>
      </c>
      <c r="Z26" s="20">
        <f>[LÍQUIDO]-SUMPRODUCT(N([DATA]=NC[[#This Row],[DATA]]),N([ID]=(NC[[#This Row],[ID]]-1)),[LÍQUIDO])</f>
        <v>783.17000000000007</v>
      </c>
      <c r="AA26" s="15">
        <f>IF([T] = "VC", ABS([VALOR OP]) / [QTDE], [VALOR OP]/[QTDE])</f>
        <v>0.97896250000000007</v>
      </c>
      <c r="AB26" s="15">
        <f>TRUNC(IF(OR([T]="CV",[T]="VV"),     N26*SETUP!$H$3,     0),2)</f>
        <v>0.04</v>
      </c>
      <c r="AC26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26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0.52036249999999995</v>
      </c>
      <c r="AE26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0.97896250000000007</v>
      </c>
      <c r="AF26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366.88000000000011</v>
      </c>
      <c r="AG26" s="15">
        <f>IF([LUCRO TMP] &lt;&gt; 0, [LUCRO TMP] - SUMPRODUCT(N([ATIVO]=NC[[#This Row],[ATIVO]]),N(['[D/N']]="N"),N([ID]&lt;NC[[#This Row],[ID]]),N([PAR]=NC[[#This Row],[PAR]]), [LUCRO TMP]), 0)</f>
        <v>366.88000000000011</v>
      </c>
      <c r="AH26" s="15">
        <f>IF([U] = "U", SUMPRODUCT(N([ID]&lt;=NC[[#This Row],[ID]]),N([DATA BASE]=NC[[#This Row],[DATA BASE]]), N(['[D/N']] = "N"),    [LUCRO P/ OP]), 0)</f>
        <v>0</v>
      </c>
      <c r="AI26" s="15">
        <f>IF([U] = "U", SUMPRODUCT(N([DATA BASE]=NC[[#This Row],[DATA BASE]]), N(['[D/N']] = "D"),    [LUCRO P/ OP]), 0)</f>
        <v>0</v>
      </c>
      <c r="AJ26" s="15">
        <f>IF([U] = "U", SUMPRODUCT(N([DATA BASE]=NC[[#This Row],[DATA BASE]]), N(['[D/N']] = "D"),    [IRRF FONTE]), 0)</f>
        <v>0</v>
      </c>
      <c r="AK26" s="143">
        <f>NC[[#This Row],[LÍQUIDO]]/NC[[#This Row],[QTDE]]</f>
        <v>0.97896250000000007</v>
      </c>
    </row>
    <row r="27" spans="1:37" ht="11.25" customHeight="1">
      <c r="A27" s="13">
        <v>26</v>
      </c>
      <c r="B27" s="13"/>
      <c r="C27" s="13" t="s">
        <v>51</v>
      </c>
      <c r="D27" s="13" t="s">
        <v>25</v>
      </c>
      <c r="E27" s="14">
        <v>41016</v>
      </c>
      <c r="F27" s="13">
        <v>3000</v>
      </c>
      <c r="G27" s="15">
        <v>0</v>
      </c>
      <c r="H27" s="78"/>
      <c r="I27" s="19"/>
      <c r="J27" s="13" t="s">
        <v>6</v>
      </c>
      <c r="K27" s="14">
        <f>WORKDAY(NC[[#This Row],[DATA]],1,0)</f>
        <v>41017</v>
      </c>
      <c r="L27" s="22">
        <f>EOMONTH(NC[[#This Row],[DATA DE LIQUIDAÇÃO]],0)</f>
        <v>41029</v>
      </c>
      <c r="M27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3</v>
      </c>
      <c r="N27" s="15">
        <f>[QTDE]*[PREÇO]</f>
        <v>0</v>
      </c>
      <c r="O27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27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27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27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27" s="15">
        <f>SETUP!$E$3 * IF([PARCIAL] &gt; 0, [QTDE] / [PARCIAL], 1)</f>
        <v>14.9</v>
      </c>
      <c r="T27" s="15">
        <f>SUMPRODUCT(N([DATA]=NC[[#This Row],[DATA]]),N([ID]&lt;=NC[[#This Row],[ID]]), [CORR])</f>
        <v>14.9</v>
      </c>
      <c r="U27" s="15">
        <f>TRUNC([CORRETAGEM]*SETUP!$F$3,2)</f>
        <v>0.28999999999999998</v>
      </c>
      <c r="V27" s="15">
        <f>ROUND([CORRETAGEM]*SETUP!$G$3,2)</f>
        <v>0.57999999999999996</v>
      </c>
      <c r="W27" s="15">
        <f>[VALOR LÍQUIDO DAS OPERAÇÕES]-[TAXA DE LIQUIDAÇÃO]-[EMOLUMENTOS]-[TAXA DE REGISTRO]-[CORRETAGEM]-[ISS]-IF(['[D/N']]="D",    0,    [OUTRAS BOVESPA]) - [AJUSTE]</f>
        <v>-15.77</v>
      </c>
      <c r="X27" s="15">
        <f>IF(AND(['[D/N']]="D",    [T]="CV",    [LÍQUIDO BASE] &gt; 0),    TRUNC([LÍQUIDO BASE]*0.01, 2),    0)</f>
        <v>0</v>
      </c>
      <c r="Y27" s="15">
        <f>IF([PREÇO] &gt; 0,    [LÍQUIDO BASE]-SUMPRODUCT(N([DATA]=NC[[#This Row],[DATA]]),    [IRRF FONTE]),    0)</f>
        <v>0</v>
      </c>
      <c r="Z27" s="20">
        <f>[LÍQUIDO]-SUMPRODUCT(N([DATA]=NC[[#This Row],[DATA]]),N([ID]=(NC[[#This Row],[ID]]-1)),[LÍQUIDO])</f>
        <v>0</v>
      </c>
      <c r="AA27" s="15">
        <f>IF([T] = "VC", ABS([VALOR OP]) / [QTDE], [VALOR OP]/[QTDE])</f>
        <v>0</v>
      </c>
      <c r="AB27" s="15">
        <f>TRUNC(IF(OR([T]="CV",[T]="VV"),     N27*SETUP!$H$3,     0),2)</f>
        <v>0</v>
      </c>
      <c r="AC27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27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0.16546666666666665</v>
      </c>
      <c r="AE27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27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-496.4</v>
      </c>
      <c r="AG27" s="15">
        <f>IF([LUCRO TMP] &lt;&gt; 0, [LUCRO TMP] - SUMPRODUCT(N([ATIVO]=NC[[#This Row],[ATIVO]]),N(['[D/N']]="N"),N([ID]&lt;NC[[#This Row],[ID]]),N([PAR]=NC[[#This Row],[PAR]]), [LUCRO TMP]), 0)</f>
        <v>-496.4</v>
      </c>
      <c r="AH27" s="15">
        <f>IF([U] = "U", SUMPRODUCT(N([ID]&lt;=NC[[#This Row],[ID]]),N([DATA BASE]=NC[[#This Row],[DATA BASE]]), N(['[D/N']] = "N"),    [LUCRO P/ OP]), 0)</f>
        <v>0</v>
      </c>
      <c r="AI27" s="15">
        <f>IF([U] = "U", SUMPRODUCT(N([DATA BASE]=NC[[#This Row],[DATA BASE]]), N(['[D/N']] = "D"),    [LUCRO P/ OP]), 0)</f>
        <v>0</v>
      </c>
      <c r="AJ27" s="15">
        <f>IF([U] = "U", SUMPRODUCT(N([DATA BASE]=NC[[#This Row],[DATA BASE]]), N(['[D/N']] = "D"),    [IRRF FONTE]), 0)</f>
        <v>0</v>
      </c>
      <c r="AK27" s="143">
        <f>NC[[#This Row],[LÍQUIDO]]/NC[[#This Row],[QTDE]]</f>
        <v>0</v>
      </c>
    </row>
    <row r="28" spans="1:37" ht="11.25" customHeight="1">
      <c r="A28" s="13">
        <v>27</v>
      </c>
      <c r="B28" s="30"/>
      <c r="C28" s="55" t="s">
        <v>64</v>
      </c>
      <c r="D28" s="30" t="s">
        <v>24</v>
      </c>
      <c r="E28" s="31">
        <v>41022</v>
      </c>
      <c r="F28" s="30">
        <v>100</v>
      </c>
      <c r="G28" s="29">
        <v>0.75</v>
      </c>
      <c r="H28" s="79"/>
      <c r="I28" s="35"/>
      <c r="J28" s="30" t="s">
        <v>6</v>
      </c>
      <c r="K28" s="31">
        <f>WORKDAY(NC[[#This Row],[DATA]],1,0)</f>
        <v>41023</v>
      </c>
      <c r="L28" s="32">
        <f>EOMONTH(NC[[#This Row],[DATA DE LIQUIDAÇÃO]],0)</f>
        <v>41029</v>
      </c>
      <c r="M28" s="30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28" s="29">
        <f>[QTDE]*[PREÇO]</f>
        <v>75</v>
      </c>
      <c r="O28" s="29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-75</v>
      </c>
      <c r="P28" s="29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0.02</v>
      </c>
      <c r="Q28" s="29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0.02</v>
      </c>
      <c r="R28" s="29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0.05</v>
      </c>
      <c r="S28" s="29">
        <f>SETUP!$E$3 * IF([PARCIAL] &gt; 0, [QTDE] / [PARCIAL], 1)</f>
        <v>14.9</v>
      </c>
      <c r="T28" s="29">
        <f>SUMPRODUCT(N([DATA]=NC[[#This Row],[DATA]]),N([ID]&lt;=NC[[#This Row],[ID]]), [CORR])</f>
        <v>14.9</v>
      </c>
      <c r="U28" s="29">
        <f>TRUNC([CORRETAGEM]*SETUP!$F$3,2)</f>
        <v>0.28999999999999998</v>
      </c>
      <c r="V28" s="29">
        <f>ROUND([CORRETAGEM]*SETUP!$G$3,2)</f>
        <v>0.57999999999999996</v>
      </c>
      <c r="W28" s="29">
        <f>[VALOR LÍQUIDO DAS OPERAÇÕES]-[TAXA DE LIQUIDAÇÃO]-[EMOLUMENTOS]-[TAXA DE REGISTRO]-[CORRETAGEM]-[ISS]-IF(['[D/N']]="D",    0,    [OUTRAS BOVESPA]) - [AJUSTE]</f>
        <v>-90.86</v>
      </c>
      <c r="X28" s="29">
        <f>IF(AND(['[D/N']]="D",    [T]="CV",    [LÍQUIDO BASE] &gt; 0),    TRUNC([LÍQUIDO BASE]*0.01, 2),    0)</f>
        <v>0</v>
      </c>
      <c r="Y28" s="15">
        <f>IF([PREÇO] &gt; 0,    [LÍQUIDO BASE]-SUMPRODUCT(N([DATA]=NC[[#This Row],[DATA]]),    [IRRF FONTE]),    0)</f>
        <v>-90.86</v>
      </c>
      <c r="Z28" s="33">
        <f>[LÍQUIDO]-SUMPRODUCT(N([DATA]=NC[[#This Row],[DATA]]),N([ID]=(NC[[#This Row],[ID]]-1)),[LÍQUIDO])</f>
        <v>-90.86</v>
      </c>
      <c r="AA28" s="29">
        <f>IF([T] = "VC", ABS([VALOR OP]) / [QTDE], [VALOR OP]/[QTDE])</f>
        <v>-0.90859999999999996</v>
      </c>
      <c r="AB28" s="29">
        <f>TRUNC(IF(OR([T]="CV",[T]="VV"),     N28*SETUP!$H$3,     0),2)</f>
        <v>0</v>
      </c>
      <c r="AC28" s="30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100</v>
      </c>
      <c r="AD28" s="34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0.90859999999999996</v>
      </c>
      <c r="AE28" s="34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28" s="34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28" s="29">
        <f>IF([LUCRO TMP] &lt;&gt; 0, [LUCRO TMP] - SUMPRODUCT(N([ATIVO]=NC[[#This Row],[ATIVO]]),N(['[D/N']]="N"),N([ID]&lt;NC[[#This Row],[ID]]),N([PAR]=NC[[#This Row],[PAR]]), [LUCRO TMP]), 0)</f>
        <v>0</v>
      </c>
      <c r="AH28" s="29">
        <f>IF([U] = "U", SUMPRODUCT(N([ID]&lt;=NC[[#This Row],[ID]]),N([DATA BASE]=NC[[#This Row],[DATA BASE]]), N(['[D/N']] = "N"),    [LUCRO P/ OP]), 0)</f>
        <v>0</v>
      </c>
      <c r="AI28" s="29">
        <f>IF([U] = "U", SUMPRODUCT(N([DATA BASE]=NC[[#This Row],[DATA BASE]]), N(['[D/N']] = "D"),    [LUCRO P/ OP]), 0)</f>
        <v>0</v>
      </c>
      <c r="AJ28" s="15">
        <f>IF([U] = "U", SUMPRODUCT(N([DATA BASE]=NC[[#This Row],[DATA BASE]]), N(['[D/N']] = "D"),    [IRRF FONTE]), 0)</f>
        <v>0</v>
      </c>
      <c r="AK28" s="143">
        <f>NC[[#This Row],[LÍQUIDO]]/NC[[#This Row],[QTDE]]</f>
        <v>-0.90859999999999996</v>
      </c>
    </row>
    <row r="29" spans="1:37" ht="11.25" customHeight="1">
      <c r="A29" s="13">
        <v>28</v>
      </c>
      <c r="B29" s="30"/>
      <c r="C29" s="55" t="s">
        <v>65</v>
      </c>
      <c r="D29" s="30" t="s">
        <v>66</v>
      </c>
      <c r="E29" s="31">
        <v>41022</v>
      </c>
      <c r="F29" s="30">
        <v>100</v>
      </c>
      <c r="G29" s="29">
        <v>1.93</v>
      </c>
      <c r="H29" s="79"/>
      <c r="I29" s="35"/>
      <c r="J29" s="30" t="s">
        <v>6</v>
      </c>
      <c r="K29" s="31">
        <f>WORKDAY(NC[[#This Row],[DATA]],1,0)</f>
        <v>41023</v>
      </c>
      <c r="L29" s="32">
        <f>EOMONTH(NC[[#This Row],[DATA DE LIQUIDAÇÃO]],0)</f>
        <v>41029</v>
      </c>
      <c r="M29" s="30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29" s="29">
        <f>[QTDE]*[PREÇO]</f>
        <v>193</v>
      </c>
      <c r="O29" s="29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118</v>
      </c>
      <c r="P29" s="29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7.0000000000000007E-2</v>
      </c>
      <c r="Q29" s="29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0.09</v>
      </c>
      <c r="R29" s="29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0.18</v>
      </c>
      <c r="S29" s="29">
        <f>SETUP!$E$3 * IF([PARCIAL] &gt; 0, [QTDE] / [PARCIAL], 1)</f>
        <v>14.9</v>
      </c>
      <c r="T29" s="29">
        <f>SUMPRODUCT(N([DATA]=NC[[#This Row],[DATA]]),N([ID]&lt;=NC[[#This Row],[ID]]), [CORR])</f>
        <v>29.8</v>
      </c>
      <c r="U29" s="29">
        <f>TRUNC([CORRETAGEM]*SETUP!$F$3,2)</f>
        <v>0.59</v>
      </c>
      <c r="V29" s="29">
        <f>ROUND([CORRETAGEM]*SETUP!$G$3,2)</f>
        <v>1.1599999999999999</v>
      </c>
      <c r="W29" s="29">
        <f>[VALOR LÍQUIDO DAS OPERAÇÕES]-[TAXA DE LIQUIDAÇÃO]-[EMOLUMENTOS]-[TAXA DE REGISTRO]-[CORRETAGEM]-[ISS]-IF(['[D/N']]="D",    0,    [OUTRAS BOVESPA]) - [AJUSTE]</f>
        <v>86.11</v>
      </c>
      <c r="X29" s="29">
        <f>IF(AND(['[D/N']]="D",    [T]="CV",    [LÍQUIDO BASE] &gt; 0),    TRUNC([LÍQUIDO BASE]*0.01, 2),    0)</f>
        <v>0</v>
      </c>
      <c r="Y29" s="15">
        <f>IF([PREÇO] &gt; 0,    [LÍQUIDO BASE]-SUMPRODUCT(N([DATA]=NC[[#This Row],[DATA]]),    [IRRF FONTE]),    0)</f>
        <v>86.11</v>
      </c>
      <c r="Z29" s="33">
        <f>[LÍQUIDO]-SUMPRODUCT(N([DATA]=NC[[#This Row],[DATA]]),N([ID]=(NC[[#This Row],[ID]]-1)),[LÍQUIDO])</f>
        <v>176.97</v>
      </c>
      <c r="AA29" s="29">
        <f>IF([T] = "VC", ABS([VALOR OP]) / [QTDE], [VALOR OP]/[QTDE])</f>
        <v>1.7697000000000001</v>
      </c>
      <c r="AB29" s="29">
        <f>TRUNC(IF(OR([T]="CV",[T]="VV"),     N29*SETUP!$H$3,     0),2)</f>
        <v>0</v>
      </c>
      <c r="AC29" s="30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-100</v>
      </c>
      <c r="AD29" s="34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</v>
      </c>
      <c r="AE29" s="34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1.7697000000000001</v>
      </c>
      <c r="AF29" s="34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29" s="29">
        <f>IF([LUCRO TMP] &lt;&gt; 0, [LUCRO TMP] - SUMPRODUCT(N([ATIVO]=NC[[#This Row],[ATIVO]]),N(['[D/N']]="N"),N([ID]&lt;NC[[#This Row],[ID]]),N([PAR]=NC[[#This Row],[PAR]]), [LUCRO TMP]), 0)</f>
        <v>0</v>
      </c>
      <c r="AH29" s="29">
        <f>IF([U] = "U", SUMPRODUCT(N([ID]&lt;=NC[[#This Row],[ID]]),N([DATA BASE]=NC[[#This Row],[DATA BASE]]), N(['[D/N']] = "N"),    [LUCRO P/ OP]), 0)</f>
        <v>0</v>
      </c>
      <c r="AI29" s="29">
        <f>IF([U] = "U", SUMPRODUCT(N([DATA BASE]=NC[[#This Row],[DATA BASE]]), N(['[D/N']] = "D"),    [LUCRO P/ OP]), 0)</f>
        <v>0</v>
      </c>
      <c r="AJ29" s="15">
        <f>IF([U] = "U", SUMPRODUCT(N([DATA BASE]=NC[[#This Row],[DATA BASE]]), N(['[D/N']] = "D"),    [IRRF FONTE]), 0)</f>
        <v>0</v>
      </c>
      <c r="AK29" s="143">
        <f>NC[[#This Row],[LÍQUIDO]]/NC[[#This Row],[QTDE]]</f>
        <v>0.86109999999999998</v>
      </c>
    </row>
    <row r="30" spans="1:37" ht="11.25" customHeight="1">
      <c r="A30" s="13">
        <v>29</v>
      </c>
      <c r="B30" s="30" t="s">
        <v>49</v>
      </c>
      <c r="C30" s="30" t="s">
        <v>59</v>
      </c>
      <c r="D30" s="30" t="s">
        <v>24</v>
      </c>
      <c r="E30" s="31">
        <v>41026</v>
      </c>
      <c r="F30" s="30">
        <v>300</v>
      </c>
      <c r="G30" s="29">
        <v>0.32</v>
      </c>
      <c r="H30" s="79"/>
      <c r="I30" s="35"/>
      <c r="J30" s="30" t="s">
        <v>6</v>
      </c>
      <c r="K30" s="31">
        <f>WORKDAY(NC[[#This Row],[DATA]],1,0)</f>
        <v>41029</v>
      </c>
      <c r="L30" s="32">
        <f>EOMONTH(NC[[#This Row],[DATA DE LIQUIDAÇÃO]],0)</f>
        <v>41029</v>
      </c>
      <c r="M30" s="30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0" s="29">
        <f>[QTDE]*[PREÇO]</f>
        <v>96</v>
      </c>
      <c r="O30" s="29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-96</v>
      </c>
      <c r="P30" s="29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0.02</v>
      </c>
      <c r="Q30" s="29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0.03</v>
      </c>
      <c r="R30" s="29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0.06</v>
      </c>
      <c r="S30" s="29">
        <f>SETUP!$E$3 * IF([PARCIAL] &gt; 0, [QTDE] / [PARCIAL], 1)</f>
        <v>14.9</v>
      </c>
      <c r="T30" s="29">
        <f>SUMPRODUCT(N([DATA]=NC[[#This Row],[DATA]]),N([ID]&lt;=NC[[#This Row],[ID]]), [CORR])</f>
        <v>14.9</v>
      </c>
      <c r="U30" s="29">
        <f>TRUNC([CORRETAGEM]*SETUP!$F$3,2)</f>
        <v>0.28999999999999998</v>
      </c>
      <c r="V30" s="29">
        <f>ROUND([CORRETAGEM]*SETUP!$G$3,2)</f>
        <v>0.57999999999999996</v>
      </c>
      <c r="W30" s="29">
        <f>[VALOR LÍQUIDO DAS OPERAÇÕES]-[TAXA DE LIQUIDAÇÃO]-[EMOLUMENTOS]-[TAXA DE REGISTRO]-[CORRETAGEM]-[ISS]-IF(['[D/N']]="D",    0,    [OUTRAS BOVESPA]) - [AJUSTE]</f>
        <v>-111.88000000000001</v>
      </c>
      <c r="X30" s="29">
        <f>IF(AND(['[D/N']]="D",    [T]="CV",    [LÍQUIDO BASE] &gt; 0),    TRUNC([LÍQUIDO BASE]*0.01, 2),    0)</f>
        <v>0</v>
      </c>
      <c r="Y30" s="15">
        <f>IF([PREÇO] &gt; 0,    [LÍQUIDO BASE]-SUMPRODUCT(N([DATA]=NC[[#This Row],[DATA]]),    [IRRF FONTE]),    0)</f>
        <v>-111.88000000000001</v>
      </c>
      <c r="Z30" s="33">
        <f>[LÍQUIDO]-SUMPRODUCT(N([DATA]=NC[[#This Row],[DATA]]),N([ID]=(NC[[#This Row],[ID]]-1)),[LÍQUIDO])</f>
        <v>-111.88000000000001</v>
      </c>
      <c r="AA30" s="29">
        <f>IF([T] = "VC", ABS([VALOR OP]) / [QTDE], [VALOR OP]/[QTDE])</f>
        <v>-0.37293333333333334</v>
      </c>
      <c r="AB30" s="29">
        <f>TRUNC(IF(OR([T]="CV",[T]="VV"),     N30*SETUP!$H$3,     0),2)</f>
        <v>0</v>
      </c>
      <c r="AC30" s="30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300</v>
      </c>
      <c r="AD30" s="34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0.37293333333333334</v>
      </c>
      <c r="AE30" s="34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30" s="34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30" s="29">
        <f>IF([LUCRO TMP] &lt;&gt; 0, [LUCRO TMP] - SUMPRODUCT(N([ATIVO]=NC[[#This Row],[ATIVO]]),N(['[D/N']]="N"),N([ID]&lt;NC[[#This Row],[ID]]),N([PAR]=NC[[#This Row],[PAR]]), [LUCRO TMP]), 0)</f>
        <v>0</v>
      </c>
      <c r="AH30" s="29">
        <f>IF([U] = "U", SUMPRODUCT(N([ID]&lt;=NC[[#This Row],[ID]]),N([DATA BASE]=NC[[#This Row],[DATA BASE]]), N(['[D/N']] = "N"),    [LUCRO P/ OP]), 0)</f>
        <v>-958.07999999999981</v>
      </c>
      <c r="AI30" s="29">
        <f>IF([U] = "U", SUMPRODUCT(N([DATA BASE]=NC[[#This Row],[DATA BASE]]), N(['[D/N']] = "D"),    [LUCRO P/ OP]), 0)</f>
        <v>0</v>
      </c>
      <c r="AJ30" s="15">
        <f>IF([U] = "U", SUMPRODUCT(N([DATA BASE]=NC[[#This Row],[DATA BASE]]), N(['[D/N']] = "D"),    [IRRF FONTE]), 0)</f>
        <v>0</v>
      </c>
      <c r="AK30" s="143">
        <f>NC[[#This Row],[LÍQUIDO]]/NC[[#This Row],[QTDE]]</f>
        <v>-0.37293333333333334</v>
      </c>
    </row>
    <row r="31" spans="1:37" ht="11.25" customHeight="1">
      <c r="A31" s="13">
        <v>30</v>
      </c>
      <c r="B31" s="13"/>
      <c r="C31" s="13" t="s">
        <v>59</v>
      </c>
      <c r="D31" s="13" t="s">
        <v>25</v>
      </c>
      <c r="E31" s="14">
        <v>41031</v>
      </c>
      <c r="F31" s="13">
        <v>300</v>
      </c>
      <c r="G31" s="15">
        <v>0.64</v>
      </c>
      <c r="H31" s="78"/>
      <c r="I31" s="19"/>
      <c r="J31" s="13" t="s">
        <v>6</v>
      </c>
      <c r="K31" s="14">
        <f>WORKDAY(NC[[#This Row],[DATA]],1,0)</f>
        <v>41032</v>
      </c>
      <c r="L31" s="22">
        <f>EOMONTH(NC[[#This Row],[DATA DE LIQUIDAÇÃO]],0)</f>
        <v>41060</v>
      </c>
      <c r="M31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1" s="15">
        <f>[QTDE]*[PREÇO]</f>
        <v>192</v>
      </c>
      <c r="O31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192</v>
      </c>
      <c r="P31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0.05</v>
      </c>
      <c r="Q31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7.0000000000000007E-2</v>
      </c>
      <c r="R31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0.13</v>
      </c>
      <c r="S31" s="15">
        <f>SETUP!$E$3 * IF([PARCIAL] &gt; 0, [QTDE] / [PARCIAL], 1)</f>
        <v>14.9</v>
      </c>
      <c r="T31" s="15">
        <f>SUMPRODUCT(N([DATA]=NC[[#This Row],[DATA]]),N([ID]&lt;=NC[[#This Row],[ID]]), [CORR])</f>
        <v>14.9</v>
      </c>
      <c r="U31" s="15">
        <f>TRUNC([CORRETAGEM]*SETUP!$F$3,2)</f>
        <v>0.28999999999999998</v>
      </c>
      <c r="V31" s="15">
        <f>ROUND([CORRETAGEM]*SETUP!$G$3,2)</f>
        <v>0.57999999999999996</v>
      </c>
      <c r="W31" s="15">
        <f>[VALOR LÍQUIDO DAS OPERAÇÕES]-[TAXA DE LIQUIDAÇÃO]-[EMOLUMENTOS]-[TAXA DE REGISTRO]-[CORRETAGEM]-[ISS]-IF(['[D/N']]="D",    0,    [OUTRAS BOVESPA]) - [AJUSTE]</f>
        <v>175.98</v>
      </c>
      <c r="X31" s="15">
        <f>IF(AND(['[D/N']]="D",    [T]="CV",    [LÍQUIDO BASE] &gt; 0),    TRUNC([LÍQUIDO BASE]*0.01, 2),    0)</f>
        <v>0</v>
      </c>
      <c r="Y31" s="15">
        <f>IF([PREÇO] &gt; 0,    [LÍQUIDO BASE]-SUMPRODUCT(N([DATA]=NC[[#This Row],[DATA]]),    [IRRF FONTE]),    0)</f>
        <v>175.98</v>
      </c>
      <c r="Z31" s="20">
        <f>[LÍQUIDO]-SUMPRODUCT(N([DATA]=NC[[#This Row],[DATA]]),N([ID]=(NC[[#This Row],[ID]]-1)),[LÍQUIDO])</f>
        <v>175.98</v>
      </c>
      <c r="AA31" s="15">
        <f>IF([T] = "VC", ABS([VALOR OP]) / [QTDE], [VALOR OP]/[QTDE])</f>
        <v>0.58660000000000001</v>
      </c>
      <c r="AB31" s="15">
        <f>TRUNC(IF(OR([T]="CV",[T]="VV"),     N31*SETUP!$H$3,     0),2)</f>
        <v>0</v>
      </c>
      <c r="AC31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31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0.37293333333333334</v>
      </c>
      <c r="AE31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0.58660000000000001</v>
      </c>
      <c r="AF31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64.099999999999994</v>
      </c>
      <c r="AG31" s="15">
        <f>IF([LUCRO TMP] &lt;&gt; 0, [LUCRO TMP] - SUMPRODUCT(N([ATIVO]=NC[[#This Row],[ATIVO]]),N(['[D/N']]="N"),N([ID]&lt;NC[[#This Row],[ID]]),N([PAR]=NC[[#This Row],[PAR]]), [LUCRO TMP]), 0)</f>
        <v>64.099999999999994</v>
      </c>
      <c r="AH31" s="15">
        <f>IF([U] = "U", SUMPRODUCT(N([ID]&lt;=NC[[#This Row],[ID]]),N([DATA BASE]=NC[[#This Row],[DATA BASE]]), N(['[D/N']] = "N"),    [LUCRO P/ OP]), 0)</f>
        <v>0</v>
      </c>
      <c r="AI31" s="15">
        <f>IF([U] = "U", SUMPRODUCT(N([DATA BASE]=NC[[#This Row],[DATA BASE]]), N(['[D/N']] = "D"),    [LUCRO P/ OP]), 0)</f>
        <v>0</v>
      </c>
      <c r="AJ31" s="15">
        <f>IF([U] = "U", SUMPRODUCT(N([DATA BASE]=NC[[#This Row],[DATA BASE]]), N(['[D/N']] = "D"),    [IRRF FONTE]), 0)</f>
        <v>0</v>
      </c>
      <c r="AK31" s="143">
        <f>NC[[#This Row],[LÍQUIDO]]/NC[[#This Row],[QTDE]]</f>
        <v>0.58660000000000001</v>
      </c>
    </row>
    <row r="32" spans="1:37" ht="11.25" customHeight="1">
      <c r="A32" s="13">
        <v>31</v>
      </c>
      <c r="B32" s="13"/>
      <c r="C32" s="13" t="s">
        <v>76</v>
      </c>
      <c r="D32" s="13" t="s">
        <v>24</v>
      </c>
      <c r="E32" s="14">
        <v>41032</v>
      </c>
      <c r="F32" s="13">
        <v>400</v>
      </c>
      <c r="G32" s="15">
        <v>0.27</v>
      </c>
      <c r="H32" s="78"/>
      <c r="I32" s="19"/>
      <c r="J32" s="13" t="s">
        <v>6</v>
      </c>
      <c r="K32" s="14">
        <f>WORKDAY(NC[[#This Row],[DATA]],1,0)</f>
        <v>41033</v>
      </c>
      <c r="L32" s="22">
        <f>EOMONTH(NC[[#This Row],[DATA DE LIQUIDAÇÃO]],0)</f>
        <v>41060</v>
      </c>
      <c r="M32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2" s="15">
        <f>[QTDE]*[PREÇO]</f>
        <v>108</v>
      </c>
      <c r="O32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-108</v>
      </c>
      <c r="P32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0.02</v>
      </c>
      <c r="Q32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0.03</v>
      </c>
      <c r="R32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7.0000000000000007E-2</v>
      </c>
      <c r="S32" s="15">
        <f>SETUP!$E$3 * IF([PARCIAL] &gt; 0, [QTDE] / [PARCIAL], 1)</f>
        <v>14.9</v>
      </c>
      <c r="T32" s="15">
        <f>SUMPRODUCT(N([DATA]=NC[[#This Row],[DATA]]),N([ID]&lt;=NC[[#This Row],[ID]]), [CORR])</f>
        <v>14.9</v>
      </c>
      <c r="U32" s="15">
        <f>TRUNC([CORRETAGEM]*SETUP!$F$3,2)</f>
        <v>0.28999999999999998</v>
      </c>
      <c r="V32" s="15">
        <f>ROUND([CORRETAGEM]*SETUP!$G$3,2)</f>
        <v>0.57999999999999996</v>
      </c>
      <c r="W32" s="15">
        <f>[VALOR LÍQUIDO DAS OPERAÇÕES]-[TAXA DE LIQUIDAÇÃO]-[EMOLUMENTOS]-[TAXA DE REGISTRO]-[CORRETAGEM]-[ISS]-IF(['[D/N']]="D",    0,    [OUTRAS BOVESPA]) - [AJUSTE]</f>
        <v>-123.89</v>
      </c>
      <c r="X32" s="15">
        <f>IF(AND(['[D/N']]="D",    [T]="CV",    [LÍQUIDO BASE] &gt; 0),    TRUNC([LÍQUIDO BASE]*0.01, 2),    0)</f>
        <v>0</v>
      </c>
      <c r="Y32" s="15">
        <f>IF([PREÇO] &gt; 0,    [LÍQUIDO BASE]-SUMPRODUCT(N([DATA]=NC[[#This Row],[DATA]]),    [IRRF FONTE]),    0)</f>
        <v>-123.89</v>
      </c>
      <c r="Z32" s="20">
        <f>[LÍQUIDO]-SUMPRODUCT(N([DATA]=NC[[#This Row],[DATA]]),N([ID]=(NC[[#This Row],[ID]]-1)),[LÍQUIDO])</f>
        <v>-123.89</v>
      </c>
      <c r="AA32" s="15">
        <f>IF([T] = "VC", ABS([VALOR OP]) / [QTDE], [VALOR OP]/[QTDE])</f>
        <v>-0.30972500000000003</v>
      </c>
      <c r="AB32" s="15">
        <f>TRUNC(IF(OR([T]="CV",[T]="VV"),     N32*SETUP!$H$3,     0),2)</f>
        <v>0</v>
      </c>
      <c r="AC32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400</v>
      </c>
      <c r="AD32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0.30972500000000003</v>
      </c>
      <c r="AE32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32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32" s="15">
        <f>IF([LUCRO TMP] &lt;&gt; 0, [LUCRO TMP] - SUMPRODUCT(N([ATIVO]=NC[[#This Row],[ATIVO]]),N(['[D/N']]="N"),N([ID]&lt;NC[[#This Row],[ID]]),N([PAR]=NC[[#This Row],[PAR]]), [LUCRO TMP]), 0)</f>
        <v>0</v>
      </c>
      <c r="AH32" s="15">
        <f>IF([U] = "U", SUMPRODUCT(N([ID]&lt;=NC[[#This Row],[ID]]),N([DATA BASE]=NC[[#This Row],[DATA BASE]]), N(['[D/N']] = "N"),    [LUCRO P/ OP]), 0)</f>
        <v>0</v>
      </c>
      <c r="AI32" s="15">
        <f>IF([U] = "U", SUMPRODUCT(N([DATA BASE]=NC[[#This Row],[DATA BASE]]), N(['[D/N']] = "D"),    [LUCRO P/ OP]), 0)</f>
        <v>0</v>
      </c>
      <c r="AJ32" s="15">
        <f>IF([U] = "U", SUMPRODUCT(N([DATA BASE]=NC[[#This Row],[DATA BASE]]), N(['[D/N']] = "D"),    [IRRF FONTE]), 0)</f>
        <v>0</v>
      </c>
      <c r="AK32" s="143">
        <f>NC[[#This Row],[LÍQUIDO]]/NC[[#This Row],[QTDE]]</f>
        <v>-0.30972500000000003</v>
      </c>
    </row>
    <row r="33" spans="1:37">
      <c r="A33" s="13">
        <v>32</v>
      </c>
      <c r="B33" s="13"/>
      <c r="C33" s="55" t="s">
        <v>79</v>
      </c>
      <c r="D33" s="13" t="s">
        <v>24</v>
      </c>
      <c r="E33" s="14">
        <v>41036</v>
      </c>
      <c r="F33" s="13">
        <v>100</v>
      </c>
      <c r="G33" s="15">
        <v>0.3</v>
      </c>
      <c r="H33" s="78"/>
      <c r="I33" s="19"/>
      <c r="J33" s="13" t="s">
        <v>6</v>
      </c>
      <c r="K33" s="14">
        <f>WORKDAY(NC[[#This Row],[DATA]],1,0)</f>
        <v>41037</v>
      </c>
      <c r="L33" s="22">
        <f>EOMONTH(NC[[#This Row],[DATA DE LIQUIDAÇÃO]],0)</f>
        <v>41060</v>
      </c>
      <c r="M33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3" s="15">
        <f>[QTDE]*[PREÇO]</f>
        <v>30</v>
      </c>
      <c r="O33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-30</v>
      </c>
      <c r="P33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33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0.01</v>
      </c>
      <c r="R33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0.02</v>
      </c>
      <c r="S33" s="15">
        <f>SETUP!$E$3 * IF([PARCIAL] &gt; 0, [QTDE] / [PARCIAL], 1)</f>
        <v>14.9</v>
      </c>
      <c r="T33" s="15">
        <f>SUMPRODUCT(N([DATA]=NC[[#This Row],[DATA]]),N([ID]&lt;=NC[[#This Row],[ID]]), [CORR])</f>
        <v>14.9</v>
      </c>
      <c r="U33" s="15">
        <f>TRUNC([CORRETAGEM]*SETUP!$F$3,2)</f>
        <v>0.28999999999999998</v>
      </c>
      <c r="V33" s="15">
        <f>ROUND([CORRETAGEM]*SETUP!$G$3,2)</f>
        <v>0.57999999999999996</v>
      </c>
      <c r="W33" s="15">
        <f>[VALOR LÍQUIDO DAS OPERAÇÕES]-[TAXA DE LIQUIDAÇÃO]-[EMOLUMENTOS]-[TAXA DE REGISTRO]-[CORRETAGEM]-[ISS]-IF(['[D/N']]="D",    0,    [OUTRAS BOVESPA]) - [AJUSTE]</f>
        <v>-45.8</v>
      </c>
      <c r="X33" s="15">
        <f>IF(AND(['[D/N']]="D",    [T]="CV",    [LÍQUIDO BASE] &gt; 0),    TRUNC([LÍQUIDO BASE]*0.01, 2),    0)</f>
        <v>0</v>
      </c>
      <c r="Y33" s="15">
        <f>IF([PREÇO] &gt; 0,    [LÍQUIDO BASE]-SUMPRODUCT(N([DATA]=NC[[#This Row],[DATA]]),    [IRRF FONTE]),    0)</f>
        <v>-45.8</v>
      </c>
      <c r="Z33" s="20">
        <f>[LÍQUIDO]-SUMPRODUCT(N([DATA]=NC[[#This Row],[DATA]]),N([ID]=(NC[[#This Row],[ID]]-1)),[LÍQUIDO])</f>
        <v>-45.8</v>
      </c>
      <c r="AA33" s="15">
        <f>IF([T] = "VC", ABS([VALOR OP]) / [QTDE], [VALOR OP]/[QTDE])</f>
        <v>-0.45799999999999996</v>
      </c>
      <c r="AB33" s="15">
        <f>TRUNC(IF(OR([T]="CV",[T]="VV"),     N33*SETUP!$H$3,     0),2)</f>
        <v>0</v>
      </c>
      <c r="AC33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100</v>
      </c>
      <c r="AD33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0.45799999999999996</v>
      </c>
      <c r="AE33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33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33" s="15">
        <f>IF([LUCRO TMP] &lt;&gt; 0, [LUCRO TMP] - SUMPRODUCT(N([ATIVO]=NC[[#This Row],[ATIVO]]),N(['[D/N']]="N"),N([ID]&lt;NC[[#This Row],[ID]]),N([PAR]=NC[[#This Row],[PAR]]), [LUCRO TMP]), 0)</f>
        <v>0</v>
      </c>
      <c r="AH33" s="15">
        <f>IF([U] = "U", SUMPRODUCT(N([ID]&lt;=NC[[#This Row],[ID]]),N([DATA BASE]=NC[[#This Row],[DATA BASE]]), N(['[D/N']] = "N"),    [LUCRO P/ OP]), 0)</f>
        <v>0</v>
      </c>
      <c r="AI33" s="15">
        <f>IF([U] = "U", SUMPRODUCT(N([DATA BASE]=NC[[#This Row],[DATA BASE]]), N(['[D/N']] = "D"),    [LUCRO P/ OP]), 0)</f>
        <v>0</v>
      </c>
      <c r="AJ33" s="15">
        <f>IF([U] = "U", SUMPRODUCT(N([DATA BASE]=NC[[#This Row],[DATA BASE]]), N(['[D/N']] = "D"),    [IRRF FONTE]), 0)</f>
        <v>0</v>
      </c>
      <c r="AK33" s="143">
        <f>NC[[#This Row],[LÍQUIDO]]/NC[[#This Row],[QTDE]]</f>
        <v>-0.45799999999999996</v>
      </c>
    </row>
    <row r="34" spans="1:37">
      <c r="A34" s="13">
        <v>33</v>
      </c>
      <c r="B34" s="13"/>
      <c r="C34" s="55" t="s">
        <v>80</v>
      </c>
      <c r="D34" s="13" t="s">
        <v>66</v>
      </c>
      <c r="E34" s="14">
        <v>41036</v>
      </c>
      <c r="F34" s="13">
        <v>100</v>
      </c>
      <c r="G34" s="15">
        <v>1.52</v>
      </c>
      <c r="H34" s="78"/>
      <c r="I34" s="19"/>
      <c r="J34" s="13" t="s">
        <v>6</v>
      </c>
      <c r="K34" s="14">
        <f>WORKDAY(NC[[#This Row],[DATA]],1,0)</f>
        <v>41037</v>
      </c>
      <c r="L34" s="22">
        <f>EOMONTH(NC[[#This Row],[DATA DE LIQUIDAÇÃO]],0)</f>
        <v>41060</v>
      </c>
      <c r="M34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4" s="15">
        <f>[QTDE]*[PREÇO]</f>
        <v>152</v>
      </c>
      <c r="O34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122</v>
      </c>
      <c r="P34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0.05</v>
      </c>
      <c r="Q34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0.06</v>
      </c>
      <c r="R34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0.12</v>
      </c>
      <c r="S34" s="15">
        <f>SETUP!$E$3 * IF([PARCIAL] &gt; 0, [QTDE] / [PARCIAL], 1)</f>
        <v>14.9</v>
      </c>
      <c r="T34" s="15">
        <f>SUMPRODUCT(N([DATA]=NC[[#This Row],[DATA]]),N([ID]&lt;=NC[[#This Row],[ID]]), [CORR])</f>
        <v>29.8</v>
      </c>
      <c r="U34" s="15">
        <f>TRUNC([CORRETAGEM]*SETUP!$F$3,2)</f>
        <v>0.59</v>
      </c>
      <c r="V34" s="15">
        <f>ROUND([CORRETAGEM]*SETUP!$G$3,2)</f>
        <v>1.1599999999999999</v>
      </c>
      <c r="W34" s="15">
        <f>[VALOR LÍQUIDO DAS OPERAÇÕES]-[TAXA DE LIQUIDAÇÃO]-[EMOLUMENTOS]-[TAXA DE REGISTRO]-[CORRETAGEM]-[ISS]-IF(['[D/N']]="D",    0,    [OUTRAS BOVESPA]) - [AJUSTE]</f>
        <v>90.22</v>
      </c>
      <c r="X34" s="15">
        <f>IF(AND(['[D/N']]="D",    [T]="CV",    [LÍQUIDO BASE] &gt; 0),    TRUNC([LÍQUIDO BASE]*0.01, 2),    0)</f>
        <v>0</v>
      </c>
      <c r="Y34" s="15">
        <f>IF([PREÇO] &gt; 0,    [LÍQUIDO BASE]-SUMPRODUCT(N([DATA]=NC[[#This Row],[DATA]]),    [IRRF FONTE]),    0)</f>
        <v>90.22</v>
      </c>
      <c r="Z34" s="20">
        <f>[LÍQUIDO]-SUMPRODUCT(N([DATA]=NC[[#This Row],[DATA]]),N([ID]=(NC[[#This Row],[ID]]-1)),[LÍQUIDO])</f>
        <v>136.01999999999998</v>
      </c>
      <c r="AA34" s="15">
        <f>IF([T] = "VC", ABS([VALOR OP]) / [QTDE], [VALOR OP]/[QTDE])</f>
        <v>1.3601999999999999</v>
      </c>
      <c r="AB34" s="15">
        <f>TRUNC(IF(OR([T]="CV",[T]="VV"),     N34*SETUP!$H$3,     0),2)</f>
        <v>0</v>
      </c>
      <c r="AC34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-100</v>
      </c>
      <c r="AD34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</v>
      </c>
      <c r="AE34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1.3601999999999999</v>
      </c>
      <c r="AF34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34" s="15">
        <f>IF([LUCRO TMP] &lt;&gt; 0, [LUCRO TMP] - SUMPRODUCT(N([ATIVO]=NC[[#This Row],[ATIVO]]),N(['[D/N']]="N"),N([ID]&lt;NC[[#This Row],[ID]]),N([PAR]=NC[[#This Row],[PAR]]), [LUCRO TMP]), 0)</f>
        <v>0</v>
      </c>
      <c r="AH34" s="15">
        <f>IF([U] = "U", SUMPRODUCT(N([ID]&lt;=NC[[#This Row],[ID]]),N([DATA BASE]=NC[[#This Row],[DATA BASE]]), N(['[D/N']] = "N"),    [LUCRO P/ OP]), 0)</f>
        <v>0</v>
      </c>
      <c r="AI34" s="15">
        <f>IF([U] = "U", SUMPRODUCT(N([DATA BASE]=NC[[#This Row],[DATA BASE]]), N(['[D/N']] = "D"),    [LUCRO P/ OP]), 0)</f>
        <v>0</v>
      </c>
      <c r="AJ34" s="15">
        <f>IF([U] = "U", SUMPRODUCT(N([DATA BASE]=NC[[#This Row],[DATA BASE]]), N(['[D/N']] = "D"),    [IRRF FONTE]), 0)</f>
        <v>0</v>
      </c>
      <c r="AK34" s="143">
        <f>NC[[#This Row],[LÍQUIDO]]/NC[[#This Row],[QTDE]]</f>
        <v>0.9022</v>
      </c>
    </row>
    <row r="35" spans="1:37">
      <c r="A35" s="13">
        <v>34</v>
      </c>
      <c r="B35" s="13"/>
      <c r="C35" s="55" t="s">
        <v>65</v>
      </c>
      <c r="D35" s="30" t="s">
        <v>67</v>
      </c>
      <c r="E35" s="31">
        <v>41043</v>
      </c>
      <c r="F35" s="30">
        <v>100</v>
      </c>
      <c r="G35" s="29">
        <v>7.0000000000000007E-2</v>
      </c>
      <c r="H35" s="79"/>
      <c r="I35" s="35"/>
      <c r="J35" s="30" t="s">
        <v>6</v>
      </c>
      <c r="K35" s="31">
        <f>WORKDAY(NC[[#This Row],[DATA]],1,0)</f>
        <v>41044</v>
      </c>
      <c r="L35" s="32">
        <f>EOMONTH(NC[[#This Row],[DATA DE LIQUIDAÇÃO]],0)</f>
        <v>41060</v>
      </c>
      <c r="M35" s="30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5" s="29">
        <f>[QTDE]*[PREÇO]</f>
        <v>7.0000000000000009</v>
      </c>
      <c r="O35" s="29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-7.0000000000000009</v>
      </c>
      <c r="P35" s="29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35" s="29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35" s="29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35" s="29">
        <f>SETUP!$E$3 * IF([PARCIAL] &gt; 0, [QTDE] / [PARCIAL], 1)</f>
        <v>14.9</v>
      </c>
      <c r="T35" s="29">
        <f>SUMPRODUCT(N([DATA]=NC[[#This Row],[DATA]]),N([ID]&lt;=NC[[#This Row],[ID]]), [CORR])</f>
        <v>14.9</v>
      </c>
      <c r="U35" s="29">
        <f>TRUNC([CORRETAGEM]*SETUP!$F$3,2)</f>
        <v>0.28999999999999998</v>
      </c>
      <c r="V35" s="29">
        <f>ROUND([CORRETAGEM]*SETUP!$G$3,2)</f>
        <v>0.57999999999999996</v>
      </c>
      <c r="W35" s="29">
        <f>[VALOR LÍQUIDO DAS OPERAÇÕES]-[TAXA DE LIQUIDAÇÃO]-[EMOLUMENTOS]-[TAXA DE REGISTRO]-[CORRETAGEM]-[ISS]-IF(['[D/N']]="D",    0,    [OUTRAS BOVESPA]) - [AJUSTE]</f>
        <v>-22.77</v>
      </c>
      <c r="X35" s="29">
        <f>IF(AND(['[D/N']]="D",    [T]="CV",    [LÍQUIDO BASE] &gt; 0),    TRUNC([LÍQUIDO BASE]*0.01, 2),    0)</f>
        <v>0</v>
      </c>
      <c r="Y35" s="15">
        <f>IF([PREÇO] &gt; 0,    [LÍQUIDO BASE]-SUMPRODUCT(N([DATA]=NC[[#This Row],[DATA]]),    [IRRF FONTE]),    0)</f>
        <v>-22.77</v>
      </c>
      <c r="Z35" s="33">
        <f>[LÍQUIDO]-SUMPRODUCT(N([DATA]=NC[[#This Row],[DATA]]),N([ID]=(NC[[#This Row],[ID]]-1)),[LÍQUIDO])</f>
        <v>-22.77</v>
      </c>
      <c r="AA35" s="29">
        <f>IF([T] = "VC", ABS([VALOR OP]) / [QTDE], [VALOR OP]/[QTDE])</f>
        <v>0.22769999999999999</v>
      </c>
      <c r="AB35" s="29">
        <f>TRUNC(IF(OR([T]="CV",[T]="VV"),     N35*SETUP!$H$3,     0),2)</f>
        <v>0</v>
      </c>
      <c r="AC35" s="30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35" s="34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0.22769999999999999</v>
      </c>
      <c r="AE35" s="34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1.7697000000000001</v>
      </c>
      <c r="AF35" s="34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154.20000000000002</v>
      </c>
      <c r="AG35" s="29">
        <f>IF([LUCRO TMP] &lt;&gt; 0, [LUCRO TMP] - SUMPRODUCT(N([ATIVO]=NC[[#This Row],[ATIVO]]),N(['[D/N']]="N"),N([ID]&lt;NC[[#This Row],[ID]]),N([PAR]=NC[[#This Row],[PAR]]), [LUCRO TMP]), 0)</f>
        <v>154.20000000000002</v>
      </c>
      <c r="AH35" s="29">
        <f>IF([U] = "U", SUMPRODUCT(N([ID]&lt;=NC[[#This Row],[ID]]),N([DATA BASE]=NC[[#This Row],[DATA BASE]]), N(['[D/N']] = "N"),    [LUCRO P/ OP]), 0)</f>
        <v>0</v>
      </c>
      <c r="AI35" s="29">
        <f>IF([U] = "U", SUMPRODUCT(N([DATA BASE]=NC[[#This Row],[DATA BASE]]), N(['[D/N']] = "D"),    [LUCRO P/ OP]), 0)</f>
        <v>0</v>
      </c>
      <c r="AJ35" s="15">
        <f>IF([U] = "U", SUMPRODUCT(N([DATA BASE]=NC[[#This Row],[DATA BASE]]), N(['[D/N']] = "D"),    [IRRF FONTE]), 0)</f>
        <v>0</v>
      </c>
      <c r="AK35" s="143">
        <f>NC[[#This Row],[LÍQUIDO]]/NC[[#This Row],[QTDE]]</f>
        <v>-0.22769999999999999</v>
      </c>
    </row>
    <row r="36" spans="1:37">
      <c r="A36" s="13">
        <v>35</v>
      </c>
      <c r="B36" s="43"/>
      <c r="C36" s="55" t="s">
        <v>90</v>
      </c>
      <c r="D36" s="43" t="s">
        <v>66</v>
      </c>
      <c r="E36" s="44">
        <v>41043</v>
      </c>
      <c r="F36" s="43">
        <v>900</v>
      </c>
      <c r="G36" s="42">
        <v>1.02</v>
      </c>
      <c r="H36" s="76"/>
      <c r="I36" s="49"/>
      <c r="J36" s="43" t="s">
        <v>6</v>
      </c>
      <c r="K36" s="44">
        <f>WORKDAY(NC[[#This Row],[DATA]],1,0)</f>
        <v>41044</v>
      </c>
      <c r="L36" s="45">
        <f>EOMONTH(NC[[#This Row],[DATA DE LIQUIDAÇÃO]],0)</f>
        <v>41060</v>
      </c>
      <c r="M36" s="4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6" s="42">
        <f>[QTDE]*[PREÇO]</f>
        <v>918</v>
      </c>
      <c r="O36" s="42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911</v>
      </c>
      <c r="P36" s="42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0.25</v>
      </c>
      <c r="Q36" s="42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0.34</v>
      </c>
      <c r="R36" s="42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0.64</v>
      </c>
      <c r="S36" s="42">
        <f>SETUP!$E$3 * IF([PARCIAL] &gt; 0, [QTDE] / [PARCIAL], 1)</f>
        <v>14.9</v>
      </c>
      <c r="T36" s="42">
        <f>SUMPRODUCT(N([DATA]=NC[[#This Row],[DATA]]),N([ID]&lt;=NC[[#This Row],[ID]]), [CORR])</f>
        <v>29.8</v>
      </c>
      <c r="U36" s="42">
        <f>TRUNC([CORRETAGEM]*SETUP!$F$3,2)</f>
        <v>0.59</v>
      </c>
      <c r="V36" s="42">
        <f>ROUND([CORRETAGEM]*SETUP!$G$3,2)</f>
        <v>1.1599999999999999</v>
      </c>
      <c r="W36" s="42">
        <f>[VALOR LÍQUIDO DAS OPERAÇÕES]-[TAXA DE LIQUIDAÇÃO]-[EMOLUMENTOS]-[TAXA DE REGISTRO]-[CORRETAGEM]-[ISS]-IF(['[D/N']]="D",    0,    [OUTRAS BOVESPA]) - [AJUSTE]</f>
        <v>878.22</v>
      </c>
      <c r="X36" s="42">
        <f>IF(AND(['[D/N']]="D",    [T]="CV",    [LÍQUIDO BASE] &gt; 0),    TRUNC([LÍQUIDO BASE]*0.01, 2),    0)</f>
        <v>0</v>
      </c>
      <c r="Y36" s="15">
        <f>IF([PREÇO] &gt; 0,    [LÍQUIDO BASE]-SUMPRODUCT(N([DATA]=NC[[#This Row],[DATA]]),    [IRRF FONTE]),    0)</f>
        <v>878.22</v>
      </c>
      <c r="Z36" s="46">
        <f>[LÍQUIDO]-SUMPRODUCT(N([DATA]=NC[[#This Row],[DATA]]),N([ID]=(NC[[#This Row],[ID]]-1)),[LÍQUIDO])</f>
        <v>900.99</v>
      </c>
      <c r="AA36" s="42">
        <f>IF([T] = "VC", ABS([VALOR OP]) / [QTDE], [VALOR OP]/[QTDE])</f>
        <v>1.0011000000000001</v>
      </c>
      <c r="AB36" s="42">
        <f>TRUNC(IF(OR([T]="CV",[T]="VV"),     N36*SETUP!$H$3,     0),2)</f>
        <v>0.04</v>
      </c>
      <c r="AC36" s="4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-900</v>
      </c>
      <c r="AD36" s="47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</v>
      </c>
      <c r="AE36" s="47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1.0011000000000001</v>
      </c>
      <c r="AF36" s="48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36" s="42">
        <f>IF([LUCRO TMP] &lt;&gt; 0, [LUCRO TMP] - SUMPRODUCT(N([ATIVO]=NC[[#This Row],[ATIVO]]),N(['[D/N']]="N"),N([ID]&lt;NC[[#This Row],[ID]]),N([PAR]=NC[[#This Row],[PAR]]), [LUCRO TMP]), 0)</f>
        <v>0</v>
      </c>
      <c r="AH36" s="42">
        <f>IF([U] = "U", SUMPRODUCT(N([ID]&lt;=NC[[#This Row],[ID]]),N([DATA BASE]=NC[[#This Row],[DATA BASE]]), N(['[D/N']] = "N"),    [LUCRO P/ OP]), 0)</f>
        <v>0</v>
      </c>
      <c r="AI36" s="42">
        <f>IF([U] = "U", SUMPRODUCT(N([DATA BASE]=NC[[#This Row],[DATA BASE]]), N(['[D/N']] = "D"),    [LUCRO P/ OP]), 0)</f>
        <v>0</v>
      </c>
      <c r="AJ36" s="15">
        <f>IF([U] = "U", SUMPRODUCT(N([DATA BASE]=NC[[#This Row],[DATA BASE]]), N(['[D/N']] = "D"),    [IRRF FONTE]), 0)</f>
        <v>0</v>
      </c>
      <c r="AK36" s="143">
        <f>NC[[#This Row],[LÍQUIDO]]/NC[[#This Row],[QTDE]]</f>
        <v>0.9758</v>
      </c>
    </row>
    <row r="37" spans="1:37">
      <c r="A37" s="13">
        <v>36</v>
      </c>
      <c r="B37" s="43"/>
      <c r="C37" s="55" t="s">
        <v>85</v>
      </c>
      <c r="D37" s="43" t="s">
        <v>24</v>
      </c>
      <c r="E37" s="44">
        <v>41043</v>
      </c>
      <c r="F37" s="43">
        <v>900</v>
      </c>
      <c r="G37" s="42">
        <v>0.5</v>
      </c>
      <c r="H37" s="76"/>
      <c r="I37" s="49"/>
      <c r="J37" s="43" t="s">
        <v>6</v>
      </c>
      <c r="K37" s="44">
        <f>WORKDAY(NC[[#This Row],[DATA]],1,0)</f>
        <v>41044</v>
      </c>
      <c r="L37" s="45">
        <f>EOMONTH(NC[[#This Row],[DATA DE LIQUIDAÇÃO]],0)</f>
        <v>41060</v>
      </c>
      <c r="M37" s="4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7" s="42">
        <f>[QTDE]*[PREÇO]</f>
        <v>450</v>
      </c>
      <c r="O37" s="42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461</v>
      </c>
      <c r="P37" s="42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0.37</v>
      </c>
      <c r="Q37" s="42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0.5</v>
      </c>
      <c r="R37" s="42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0.95</v>
      </c>
      <c r="S37" s="42">
        <f>SETUP!$E$3 * IF([PARCIAL] &gt; 0, [QTDE] / [PARCIAL], 1)</f>
        <v>14.9</v>
      </c>
      <c r="T37" s="42">
        <f>SUMPRODUCT(N([DATA]=NC[[#This Row],[DATA]]),N([ID]&lt;=NC[[#This Row],[ID]]), [CORR])</f>
        <v>44.7</v>
      </c>
      <c r="U37" s="42">
        <f>TRUNC([CORRETAGEM]*SETUP!$F$3,2)</f>
        <v>0.89</v>
      </c>
      <c r="V37" s="42">
        <f>ROUND([CORRETAGEM]*SETUP!$G$3,2)</f>
        <v>1.74</v>
      </c>
      <c r="W37" s="42">
        <f>[VALOR LÍQUIDO DAS OPERAÇÕES]-[TAXA DE LIQUIDAÇÃO]-[EMOLUMENTOS]-[TAXA DE REGISTRO]-[CORRETAGEM]-[ISS]-IF(['[D/N']]="D",    0,    [OUTRAS BOVESPA]) - [AJUSTE]</f>
        <v>411.85</v>
      </c>
      <c r="X37" s="42">
        <f>IF(AND(['[D/N']]="D",    [T]="CV",    [LÍQUIDO BASE] &gt; 0),    TRUNC([LÍQUIDO BASE]*0.01, 2),    0)</f>
        <v>0</v>
      </c>
      <c r="Y37" s="15">
        <f>IF([PREÇO] &gt; 0,    [LÍQUIDO BASE]-SUMPRODUCT(N([DATA]=NC[[#This Row],[DATA]]),    [IRRF FONTE]),    0)</f>
        <v>411.85</v>
      </c>
      <c r="Z37" s="46">
        <f>[LÍQUIDO]-SUMPRODUCT(N([DATA]=NC[[#This Row],[DATA]]),N([ID]=(NC[[#This Row],[ID]]-1)),[LÍQUIDO])</f>
        <v>-466.37</v>
      </c>
      <c r="AA37" s="42">
        <f>IF([T] = "VC", ABS([VALOR OP]) / [QTDE], [VALOR OP]/[QTDE])</f>
        <v>-0.51818888888888892</v>
      </c>
      <c r="AB37" s="42">
        <f>TRUNC(IF(OR([T]="CV",[T]="VV"),     N37*SETUP!$H$3,     0),2)</f>
        <v>0</v>
      </c>
      <c r="AC37" s="4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900</v>
      </c>
      <c r="AD37" s="47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0.51818888888888892</v>
      </c>
      <c r="AE37" s="47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37" s="48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37" s="42">
        <f>IF([LUCRO TMP] &lt;&gt; 0, [LUCRO TMP] - SUMPRODUCT(N([ATIVO]=NC[[#This Row],[ATIVO]]),N(['[D/N']]="N"),N([ID]&lt;NC[[#This Row],[ID]]),N([PAR]=NC[[#This Row],[PAR]]), [LUCRO TMP]), 0)</f>
        <v>0</v>
      </c>
      <c r="AH37" s="42">
        <f>IF([U] = "U", SUMPRODUCT(N([ID]&lt;=NC[[#This Row],[ID]]),N([DATA BASE]=NC[[#This Row],[DATA BASE]]), N(['[D/N']] = "N"),    [LUCRO P/ OP]), 0)</f>
        <v>0</v>
      </c>
      <c r="AI37" s="42">
        <f>IF([U] = "U", SUMPRODUCT(N([DATA BASE]=NC[[#This Row],[DATA BASE]]), N(['[D/N']] = "D"),    [LUCRO P/ OP]), 0)</f>
        <v>0</v>
      </c>
      <c r="AJ37" s="15">
        <f>IF([U] = "U", SUMPRODUCT(N([DATA BASE]=NC[[#This Row],[DATA BASE]]), N(['[D/N']] = "D"),    [IRRF FONTE]), 0)</f>
        <v>0</v>
      </c>
      <c r="AK37" s="143">
        <f>NC[[#This Row],[LÍQUIDO]]/NC[[#This Row],[QTDE]]</f>
        <v>0.45761111111111114</v>
      </c>
    </row>
    <row r="38" spans="1:37">
      <c r="A38" s="13">
        <v>37</v>
      </c>
      <c r="B38" s="13"/>
      <c r="C38" s="55" t="s">
        <v>102</v>
      </c>
      <c r="D38" s="13" t="s">
        <v>24</v>
      </c>
      <c r="E38" s="14">
        <v>41045</v>
      </c>
      <c r="F38" s="13">
        <v>200</v>
      </c>
      <c r="G38" s="15">
        <v>0.69</v>
      </c>
      <c r="H38" s="78"/>
      <c r="I38" s="19"/>
      <c r="J38" s="13" t="s">
        <v>6</v>
      </c>
      <c r="K38" s="14">
        <f>WORKDAY(NC[[#This Row],[DATA]],1,0)</f>
        <v>41046</v>
      </c>
      <c r="L38" s="56">
        <f>EOMONTH(NC[[#This Row],[DATA DE LIQUIDAÇÃO]],0)</f>
        <v>41060</v>
      </c>
      <c r="M38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8" s="15">
        <f>[QTDE]*[PREÇO]</f>
        <v>138</v>
      </c>
      <c r="O38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-138</v>
      </c>
      <c r="P38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0.03</v>
      </c>
      <c r="Q38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0.05</v>
      </c>
      <c r="R38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0.09</v>
      </c>
      <c r="S38" s="15">
        <f>SETUP!$E$3 * IF([PARCIAL] &gt; 0, [QTDE] / [PARCIAL], 1)</f>
        <v>14.9</v>
      </c>
      <c r="T38" s="15">
        <f>SUMPRODUCT(N([DATA]=NC[[#This Row],[DATA]]),N([ID]&lt;=NC[[#This Row],[ID]]), [CORR])</f>
        <v>14.9</v>
      </c>
      <c r="U38" s="15">
        <f>TRUNC([CORRETAGEM]*SETUP!$F$3,2)</f>
        <v>0.28999999999999998</v>
      </c>
      <c r="V38" s="15">
        <f>ROUND([CORRETAGEM]*SETUP!$G$3,2)</f>
        <v>0.57999999999999996</v>
      </c>
      <c r="W38" s="15">
        <f>[VALOR LÍQUIDO DAS OPERAÇÕES]-[TAXA DE LIQUIDAÇÃO]-[EMOLUMENTOS]-[TAXA DE REGISTRO]-[CORRETAGEM]-[ISS]-IF(['[D/N']]="D",    0,    [OUTRAS BOVESPA]) - [AJUSTE]</f>
        <v>-153.94000000000003</v>
      </c>
      <c r="X38" s="15">
        <f>IF(AND(['[D/N']]="D",    [T]="CV",    [LÍQUIDO BASE] &gt; 0),    TRUNC([LÍQUIDO BASE]*0.01, 2),    0)</f>
        <v>0</v>
      </c>
      <c r="Y38" s="15">
        <f>IF([PREÇO] &gt; 0,    [LÍQUIDO BASE]-SUMPRODUCT(N([DATA]=NC[[#This Row],[DATA]]),    [IRRF FONTE]),    0)</f>
        <v>-153.94000000000003</v>
      </c>
      <c r="Z38" s="20">
        <f>[LÍQUIDO]-SUMPRODUCT(N([DATA]=NC[[#This Row],[DATA]]),N([ID]=(NC[[#This Row],[ID]]-1)),[LÍQUIDO])</f>
        <v>-153.94000000000003</v>
      </c>
      <c r="AA38" s="15">
        <f>IF([T] = "VC", ABS([VALOR OP]) / [QTDE], [VALOR OP]/[QTDE])</f>
        <v>-0.76970000000000016</v>
      </c>
      <c r="AB38" s="15">
        <f>TRUNC(IF(OR([T]="CV",[T]="VV"),     N38*SETUP!$H$3,     0),2)</f>
        <v>0</v>
      </c>
      <c r="AC38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200</v>
      </c>
      <c r="AD38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0.76970000000000016</v>
      </c>
      <c r="AE38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38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38" s="15">
        <f>IF([LUCRO TMP] &lt;&gt; 0, [LUCRO TMP] - SUMPRODUCT(N([ATIVO]=NC[[#This Row],[ATIVO]]),N(['[D/N']]="N"),N([ID]&lt;NC[[#This Row],[ID]]),N([PAR]=NC[[#This Row],[PAR]]), [LUCRO TMP]), 0)</f>
        <v>0</v>
      </c>
      <c r="AH38" s="15">
        <f>IF([U] = "U", SUMPRODUCT(N([ID]&lt;=NC[[#This Row],[ID]]),N([DATA BASE]=NC[[#This Row],[DATA BASE]]), N(['[D/N']] = "N"),    [LUCRO P/ OP]), 0)</f>
        <v>0</v>
      </c>
      <c r="AI38" s="15">
        <f>IF([U] = "U", SUMPRODUCT(N([DATA BASE]=NC[[#This Row],[DATA BASE]]), N(['[D/N']] = "D"),    [LUCRO P/ OP]), 0)</f>
        <v>0</v>
      </c>
      <c r="AJ38" s="15">
        <f>IF([U] = "U", SUMPRODUCT(N([DATA BASE]=NC[[#This Row],[DATA BASE]]), N(['[D/N']] = "D"),    [IRRF FONTE]), 0)</f>
        <v>0</v>
      </c>
      <c r="AK38" s="143">
        <f>NC[[#This Row],[LÍQUIDO]]/NC[[#This Row],[QTDE]]</f>
        <v>-0.76970000000000016</v>
      </c>
    </row>
    <row r="39" spans="1:37">
      <c r="A39" s="13">
        <v>38</v>
      </c>
      <c r="B39" s="13"/>
      <c r="C39" s="55" t="s">
        <v>103</v>
      </c>
      <c r="D39" s="13" t="s">
        <v>66</v>
      </c>
      <c r="E39" s="14">
        <v>41045</v>
      </c>
      <c r="F39" s="13">
        <v>200</v>
      </c>
      <c r="G39" s="15">
        <v>1.37</v>
      </c>
      <c r="H39" s="78"/>
      <c r="I39" s="19"/>
      <c r="J39" s="13" t="s">
        <v>6</v>
      </c>
      <c r="K39" s="14">
        <f>WORKDAY(NC[[#This Row],[DATA]],1,0)</f>
        <v>41046</v>
      </c>
      <c r="L39" s="56">
        <f>EOMONTH(NC[[#This Row],[DATA DE LIQUIDAÇÃO]],0)</f>
        <v>41060</v>
      </c>
      <c r="M39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9" s="15">
        <f>[QTDE]*[PREÇO]</f>
        <v>274</v>
      </c>
      <c r="O39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136</v>
      </c>
      <c r="P39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0.11</v>
      </c>
      <c r="Q39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0.15</v>
      </c>
      <c r="R39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0.28000000000000003</v>
      </c>
      <c r="S39" s="15">
        <f>SETUP!$E$3 * IF([PARCIAL] &gt; 0, [QTDE] / [PARCIAL], 1)</f>
        <v>14.9</v>
      </c>
      <c r="T39" s="15">
        <f>SUMPRODUCT(N([DATA]=NC[[#This Row],[DATA]]),N([ID]&lt;=NC[[#This Row],[ID]]), [CORR])</f>
        <v>29.8</v>
      </c>
      <c r="U39" s="15">
        <f>TRUNC([CORRETAGEM]*SETUP!$F$3,2)</f>
        <v>0.59</v>
      </c>
      <c r="V39" s="15">
        <f>ROUND([CORRETAGEM]*SETUP!$G$3,2)</f>
        <v>1.1599999999999999</v>
      </c>
      <c r="W39" s="15">
        <f>[VALOR LÍQUIDO DAS OPERAÇÕES]-[TAXA DE LIQUIDAÇÃO]-[EMOLUMENTOS]-[TAXA DE REGISTRO]-[CORRETAGEM]-[ISS]-IF(['[D/N']]="D",    0,    [OUTRAS BOVESPA]) - [AJUSTE]</f>
        <v>103.90999999999998</v>
      </c>
      <c r="X39" s="15">
        <f>IF(AND(['[D/N']]="D",    [T]="CV",    [LÍQUIDO BASE] &gt; 0),    TRUNC([LÍQUIDO BASE]*0.01, 2),    0)</f>
        <v>0</v>
      </c>
      <c r="Y39" s="15">
        <f>IF([PREÇO] &gt; 0,    [LÍQUIDO BASE]-SUMPRODUCT(N([DATA]=NC[[#This Row],[DATA]]),    [IRRF FONTE]),    0)</f>
        <v>103.90999999999998</v>
      </c>
      <c r="Z39" s="20">
        <f>[LÍQUIDO]-SUMPRODUCT(N([DATA]=NC[[#This Row],[DATA]]),N([ID]=(NC[[#This Row],[ID]]-1)),[LÍQUIDO])</f>
        <v>257.85000000000002</v>
      </c>
      <c r="AA39" s="15">
        <f>IF([T] = "VC", ABS([VALOR OP]) / [QTDE], [VALOR OP]/[QTDE])</f>
        <v>1.28925</v>
      </c>
      <c r="AB39" s="15">
        <f>TRUNC(IF(OR([T]="CV",[T]="VV"),     N39*SETUP!$H$3,     0),2)</f>
        <v>0.01</v>
      </c>
      <c r="AC39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-200</v>
      </c>
      <c r="AD39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</v>
      </c>
      <c r="AE39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1.28925</v>
      </c>
      <c r="AF39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39" s="15">
        <f>IF([LUCRO TMP] &lt;&gt; 0, [LUCRO TMP] - SUMPRODUCT(N([ATIVO]=NC[[#This Row],[ATIVO]]),N(['[D/N']]="N"),N([ID]&lt;NC[[#This Row],[ID]]),N([PAR]=NC[[#This Row],[PAR]]), [LUCRO TMP]), 0)</f>
        <v>0</v>
      </c>
      <c r="AH39" s="15">
        <f>IF([U] = "U", SUMPRODUCT(N([ID]&lt;=NC[[#This Row],[ID]]),N([DATA BASE]=NC[[#This Row],[DATA BASE]]), N(['[D/N']] = "N"),    [LUCRO P/ OP]), 0)</f>
        <v>0</v>
      </c>
      <c r="AI39" s="15">
        <f>IF([U] = "U", SUMPRODUCT(N([DATA BASE]=NC[[#This Row],[DATA BASE]]), N(['[D/N']] = "D"),    [LUCRO P/ OP]), 0)</f>
        <v>0</v>
      </c>
      <c r="AJ39" s="15">
        <f>IF([U] = "U", SUMPRODUCT(N([DATA BASE]=NC[[#This Row],[DATA BASE]]), N(['[D/N']] = "D"),    [IRRF FONTE]), 0)</f>
        <v>0</v>
      </c>
      <c r="AK39" s="143">
        <f>NC[[#This Row],[LÍQUIDO]]/NC[[#This Row],[QTDE]]</f>
        <v>0.51954999999999996</v>
      </c>
    </row>
    <row r="40" spans="1:37">
      <c r="A40" s="13">
        <v>39</v>
      </c>
      <c r="B40" s="13"/>
      <c r="C40" s="55" t="s">
        <v>80</v>
      </c>
      <c r="D40" s="13" t="s">
        <v>67</v>
      </c>
      <c r="E40" s="31">
        <v>41047</v>
      </c>
      <c r="F40" s="13">
        <v>100</v>
      </c>
      <c r="G40" s="15">
        <v>0.28999999999999998</v>
      </c>
      <c r="H40" s="78"/>
      <c r="I40" s="19"/>
      <c r="J40" s="13" t="s">
        <v>6</v>
      </c>
      <c r="K40" s="14">
        <f>WORKDAY(NC[[#This Row],[DATA]],1,0)</f>
        <v>41050</v>
      </c>
      <c r="L40" s="22">
        <f>EOMONTH(NC[[#This Row],[DATA DE LIQUIDAÇÃO]],0)</f>
        <v>41060</v>
      </c>
      <c r="M40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40" s="15">
        <f>[QTDE]*[PREÇO]</f>
        <v>28.999999999999996</v>
      </c>
      <c r="O40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-28.999999999999996</v>
      </c>
      <c r="P40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40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0.01</v>
      </c>
      <c r="R40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0.02</v>
      </c>
      <c r="S40" s="15">
        <f>SETUP!$E$3 * IF([PARCIAL] &gt; 0, [QTDE] / [PARCIAL], 1)</f>
        <v>14.9</v>
      </c>
      <c r="T40" s="15">
        <f>SUMPRODUCT(N([DATA]=NC[[#This Row],[DATA]]),N([ID]&lt;=NC[[#This Row],[ID]]), [CORR])</f>
        <v>14.9</v>
      </c>
      <c r="U40" s="15">
        <f>TRUNC([CORRETAGEM]*SETUP!$F$3,2)</f>
        <v>0.28999999999999998</v>
      </c>
      <c r="V40" s="15">
        <f>ROUND([CORRETAGEM]*SETUP!$G$3,2)</f>
        <v>0.57999999999999996</v>
      </c>
      <c r="W40" s="15">
        <f>[VALOR LÍQUIDO DAS OPERAÇÕES]-[TAXA DE LIQUIDAÇÃO]-[EMOLUMENTOS]-[TAXA DE REGISTRO]-[CORRETAGEM]-[ISS]-IF(['[D/N']]="D",    0,    [OUTRAS BOVESPA]) - [AJUSTE]</f>
        <v>-44.8</v>
      </c>
      <c r="X40" s="15">
        <f>IF(AND(['[D/N']]="D",    [T]="CV",    [LÍQUIDO BASE] &gt; 0),    TRUNC([LÍQUIDO BASE]*0.01, 2),    0)</f>
        <v>0</v>
      </c>
      <c r="Y40" s="15">
        <f>IF([PREÇO] &gt; 0,    [LÍQUIDO BASE]-SUMPRODUCT(N([DATA]=NC[[#This Row],[DATA]]),    [IRRF FONTE]),    0)</f>
        <v>-44.8</v>
      </c>
      <c r="Z40" s="20">
        <f>[LÍQUIDO]-SUMPRODUCT(N([DATA]=NC[[#This Row],[DATA]]),N([ID]=(NC[[#This Row],[ID]]-1)),[LÍQUIDO])</f>
        <v>-44.8</v>
      </c>
      <c r="AA40" s="15">
        <f>IF([T] = "VC", ABS([VALOR OP]) / [QTDE], [VALOR OP]/[QTDE])</f>
        <v>0.44799999999999995</v>
      </c>
      <c r="AB40" s="15">
        <f>TRUNC(IF(OR([T]="CV",[T]="VV"),     N40*SETUP!$H$3,     0),2)</f>
        <v>0</v>
      </c>
      <c r="AC40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40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0.44799999999999995</v>
      </c>
      <c r="AE40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1.3601999999999999</v>
      </c>
      <c r="AF40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91.219999999999985</v>
      </c>
      <c r="AG40" s="15">
        <f>IF([LUCRO TMP] &lt;&gt; 0, [LUCRO TMP] - SUMPRODUCT(N([ATIVO]=NC[[#This Row],[ATIVO]]),N(['[D/N']]="N"),N([ID]&lt;NC[[#This Row],[ID]]),N([PAR]=NC[[#This Row],[PAR]]), [LUCRO TMP]), 0)</f>
        <v>91.219999999999985</v>
      </c>
      <c r="AH40" s="15">
        <f>IF([U] = "U", SUMPRODUCT(N([ID]&lt;=NC[[#This Row],[ID]]),N([DATA BASE]=NC[[#This Row],[DATA BASE]]), N(['[D/N']] = "N"),    [LUCRO P/ OP]), 0)</f>
        <v>0</v>
      </c>
      <c r="AI40" s="15">
        <f>IF([U] = "U", SUMPRODUCT(N([DATA BASE]=NC[[#This Row],[DATA BASE]]), N(['[D/N']] = "D"),    [LUCRO P/ OP]), 0)</f>
        <v>0</v>
      </c>
      <c r="AJ40" s="15">
        <f>IF([U] = "U", SUMPRODUCT(N([DATA BASE]=NC[[#This Row],[DATA BASE]]), N(['[D/N']] = "D"),    [IRRF FONTE]), 0)</f>
        <v>0</v>
      </c>
      <c r="AK40" s="143">
        <f>NC[[#This Row],[LÍQUIDO]]/NC[[#This Row],[QTDE]]</f>
        <v>-0.44799999999999995</v>
      </c>
    </row>
    <row r="41" spans="1:37">
      <c r="A41" s="13">
        <v>40</v>
      </c>
      <c r="B41" s="43"/>
      <c r="C41" s="55" t="s">
        <v>90</v>
      </c>
      <c r="D41" s="43" t="s">
        <v>67</v>
      </c>
      <c r="E41" s="44">
        <v>41047</v>
      </c>
      <c r="F41" s="43">
        <v>900</v>
      </c>
      <c r="G41" s="42">
        <v>0.04</v>
      </c>
      <c r="H41" s="76"/>
      <c r="I41" s="49"/>
      <c r="J41" s="43" t="s">
        <v>6</v>
      </c>
      <c r="K41" s="44">
        <f>WORKDAY(NC[[#This Row],[DATA]],1,0)</f>
        <v>41050</v>
      </c>
      <c r="L41" s="45">
        <f>EOMONTH(NC[[#This Row],[DATA DE LIQUIDAÇÃO]],0)</f>
        <v>41060</v>
      </c>
      <c r="M41" s="4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41" s="42">
        <f>[QTDE]*[PREÇO]</f>
        <v>36</v>
      </c>
      <c r="O41" s="42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-65</v>
      </c>
      <c r="P41" s="42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0.01</v>
      </c>
      <c r="Q41" s="42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0.02</v>
      </c>
      <c r="R41" s="42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0.04</v>
      </c>
      <c r="S41" s="42">
        <f>SETUP!$E$3 * IF([PARCIAL] &gt; 0, [QTDE] / [PARCIAL], 1)</f>
        <v>14.9</v>
      </c>
      <c r="T41" s="42">
        <f>SUMPRODUCT(N([DATA]=NC[[#This Row],[DATA]]),N([ID]&lt;=NC[[#This Row],[ID]]), [CORR])</f>
        <v>29.8</v>
      </c>
      <c r="U41" s="42">
        <f>TRUNC([CORRETAGEM]*SETUP!$F$3,2)</f>
        <v>0.59</v>
      </c>
      <c r="V41" s="42">
        <f>ROUND([CORRETAGEM]*SETUP!$G$3,2)</f>
        <v>1.1599999999999999</v>
      </c>
      <c r="W41" s="42">
        <f>[VALOR LÍQUIDO DAS OPERAÇÕES]-[TAXA DE LIQUIDAÇÃO]-[EMOLUMENTOS]-[TAXA DE REGISTRO]-[CORRETAGEM]-[ISS]-IF(['[D/N']]="D",    0,    [OUTRAS BOVESPA]) - [AJUSTE]</f>
        <v>-96.62</v>
      </c>
      <c r="X41" s="42">
        <f>IF(AND(['[D/N']]="D",    [T]="CV",    [LÍQUIDO BASE] &gt; 0),    TRUNC([LÍQUIDO BASE]*0.01, 2),    0)</f>
        <v>0</v>
      </c>
      <c r="Y41" s="15">
        <f>IF([PREÇO] &gt; 0,    [LÍQUIDO BASE]-SUMPRODUCT(N([DATA]=NC[[#This Row],[DATA]]),    [IRRF FONTE]),    0)</f>
        <v>-96.62</v>
      </c>
      <c r="Z41" s="46">
        <f>[LÍQUIDO]-SUMPRODUCT(N([DATA]=NC[[#This Row],[DATA]]),N([ID]=(NC[[#This Row],[ID]]-1)),[LÍQUIDO])</f>
        <v>-51.820000000000007</v>
      </c>
      <c r="AA41" s="42">
        <f>IF([T] = "VC", ABS([VALOR OP]) / [QTDE], [VALOR OP]/[QTDE])</f>
        <v>5.7577777777777783E-2</v>
      </c>
      <c r="AB41" s="42">
        <f>TRUNC(IF(OR([T]="CV",[T]="VV"),     N41*SETUP!$H$3,     0),2)</f>
        <v>0</v>
      </c>
      <c r="AC41" s="4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41" s="47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5.7577777777777783E-2</v>
      </c>
      <c r="AE41" s="47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1.0011000000000001</v>
      </c>
      <c r="AF41" s="48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849.17000000000019</v>
      </c>
      <c r="AG41" s="42">
        <f>IF([LUCRO TMP] &lt;&gt; 0, [LUCRO TMP] - SUMPRODUCT(N([ATIVO]=NC[[#This Row],[ATIVO]]),N(['[D/N']]="N"),N([ID]&lt;NC[[#This Row],[ID]]),N([PAR]=NC[[#This Row],[PAR]]), [LUCRO TMP]), 0)</f>
        <v>849.17000000000019</v>
      </c>
      <c r="AH41" s="42">
        <f>IF([U] = "U", SUMPRODUCT(N([ID]&lt;=NC[[#This Row],[ID]]),N([DATA BASE]=NC[[#This Row],[DATA BASE]]), N(['[D/N']] = "N"),    [LUCRO P/ OP]), 0)</f>
        <v>0</v>
      </c>
      <c r="AI41" s="42">
        <f>IF([U] = "U", SUMPRODUCT(N([DATA BASE]=NC[[#This Row],[DATA BASE]]), N(['[D/N']] = "D"),    [LUCRO P/ OP]), 0)</f>
        <v>0</v>
      </c>
      <c r="AJ41" s="15">
        <f>IF([U] = "U", SUMPRODUCT(N([DATA BASE]=NC[[#This Row],[DATA BASE]]), N(['[D/N']] = "D"),    [IRRF FONTE]), 0)</f>
        <v>0</v>
      </c>
      <c r="AK41" s="143">
        <f>NC[[#This Row],[LÍQUIDO]]/NC[[#This Row],[QTDE]]</f>
        <v>-0.10735555555555557</v>
      </c>
    </row>
    <row r="42" spans="1:37">
      <c r="A42" s="13">
        <v>41</v>
      </c>
      <c r="B42" s="30"/>
      <c r="C42" s="55" t="s">
        <v>64</v>
      </c>
      <c r="D42" s="30" t="s">
        <v>25</v>
      </c>
      <c r="E42" s="31">
        <v>41050</v>
      </c>
      <c r="F42" s="30">
        <v>100</v>
      </c>
      <c r="G42" s="29">
        <v>0</v>
      </c>
      <c r="H42" s="79"/>
      <c r="I42" s="35"/>
      <c r="J42" s="30" t="s">
        <v>6</v>
      </c>
      <c r="K42" s="31">
        <f>WORKDAY(NC[[#This Row],[DATA]],1,0)</f>
        <v>41051</v>
      </c>
      <c r="L42" s="32">
        <f>EOMONTH(NC[[#This Row],[DATA DE LIQUIDAÇÃO]],0)</f>
        <v>41060</v>
      </c>
      <c r="M42" s="30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42" s="29">
        <f>[QTDE]*[PREÇO]</f>
        <v>0</v>
      </c>
      <c r="O42" s="29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42" s="29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42" s="29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42" s="29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42" s="29">
        <f>SETUP!$E$3 * IF([PARCIAL] &gt; 0, [QTDE] / [PARCIAL], 1)</f>
        <v>14.9</v>
      </c>
      <c r="T42" s="29">
        <f>SUMPRODUCT(N([DATA]=NC[[#This Row],[DATA]]),N([ID]&lt;=NC[[#This Row],[ID]]), [CORR])</f>
        <v>14.9</v>
      </c>
      <c r="U42" s="29">
        <f>TRUNC([CORRETAGEM]*SETUP!$F$3,2)</f>
        <v>0.28999999999999998</v>
      </c>
      <c r="V42" s="29">
        <f>ROUND([CORRETAGEM]*SETUP!$G$3,2)</f>
        <v>0.57999999999999996</v>
      </c>
      <c r="W42" s="29">
        <f>[VALOR LÍQUIDO DAS OPERAÇÕES]-[TAXA DE LIQUIDAÇÃO]-[EMOLUMENTOS]-[TAXA DE REGISTRO]-[CORRETAGEM]-[ISS]-IF(['[D/N']]="D",    0,    [OUTRAS BOVESPA]) - [AJUSTE]</f>
        <v>-15.77</v>
      </c>
      <c r="X42" s="29">
        <f>IF(AND(['[D/N']]="D",    [T]="CV",    [LÍQUIDO BASE] &gt; 0),    TRUNC([LÍQUIDO BASE]*0.01, 2),    0)</f>
        <v>0</v>
      </c>
      <c r="Y42" s="15">
        <f>IF([PREÇO] &gt; 0,    [LÍQUIDO BASE]-SUMPRODUCT(N([DATA]=NC[[#This Row],[DATA]]),    [IRRF FONTE]),    0)</f>
        <v>0</v>
      </c>
      <c r="Z42" s="33">
        <f>[LÍQUIDO]-SUMPRODUCT(N([DATA]=NC[[#This Row],[DATA]]),N([ID]=(NC[[#This Row],[ID]]-1)),[LÍQUIDO])</f>
        <v>0</v>
      </c>
      <c r="AA42" s="29">
        <f>IF([T] = "VC", ABS([VALOR OP]) / [QTDE], [VALOR OP]/[QTDE])</f>
        <v>0</v>
      </c>
      <c r="AB42" s="29">
        <f>TRUNC(IF(OR([T]="CV",[T]="VV"),     N42*SETUP!$H$3,     0),2)</f>
        <v>0</v>
      </c>
      <c r="AC42" s="30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42" s="34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0.90859999999999996</v>
      </c>
      <c r="AE42" s="34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42" s="34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-90.86</v>
      </c>
      <c r="AG42" s="29">
        <f>IF([LUCRO TMP] &lt;&gt; 0, [LUCRO TMP] - SUMPRODUCT(N([ATIVO]=NC[[#This Row],[ATIVO]]),N(['[D/N']]="N"),N([ID]&lt;NC[[#This Row],[ID]]),N([PAR]=NC[[#This Row],[PAR]]), [LUCRO TMP]), 0)</f>
        <v>-90.86</v>
      </c>
      <c r="AH42" s="29">
        <f>IF([U] = "U", SUMPRODUCT(N([ID]&lt;=NC[[#This Row],[ID]]),N([DATA BASE]=NC[[#This Row],[DATA BASE]]), N(['[D/N']] = "N"),    [LUCRO P/ OP]), 0)</f>
        <v>0</v>
      </c>
      <c r="AI42" s="29">
        <f>IF([U] = "U", SUMPRODUCT(N([DATA BASE]=NC[[#This Row],[DATA BASE]]), N(['[D/N']] = "D"),    [LUCRO P/ OP]), 0)</f>
        <v>0</v>
      </c>
      <c r="AJ42" s="15">
        <f>IF([U] = "U", SUMPRODUCT(N([DATA BASE]=NC[[#This Row],[DATA BASE]]), N(['[D/N']] = "D"),    [IRRF FONTE]), 0)</f>
        <v>0</v>
      </c>
      <c r="AK42" s="143">
        <f>NC[[#This Row],[LÍQUIDO]]/NC[[#This Row],[QTDE]]</f>
        <v>0</v>
      </c>
    </row>
    <row r="43" spans="1:37">
      <c r="A43" s="13">
        <v>42</v>
      </c>
      <c r="B43" s="13"/>
      <c r="C43" s="13" t="s">
        <v>76</v>
      </c>
      <c r="D43" s="13" t="s">
        <v>25</v>
      </c>
      <c r="E43" s="14">
        <v>41050</v>
      </c>
      <c r="F43" s="13">
        <v>400</v>
      </c>
      <c r="G43" s="15">
        <v>0</v>
      </c>
      <c r="H43" s="78"/>
      <c r="I43" s="19"/>
      <c r="J43" s="13" t="s">
        <v>6</v>
      </c>
      <c r="K43" s="14">
        <f>WORKDAY(NC[[#This Row],[DATA]],1,0)</f>
        <v>41051</v>
      </c>
      <c r="L43" s="22">
        <f>EOMONTH(NC[[#This Row],[DATA DE LIQUIDAÇÃO]],0)</f>
        <v>41060</v>
      </c>
      <c r="M43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43" s="15">
        <f>[QTDE]*[PREÇO]</f>
        <v>0</v>
      </c>
      <c r="O43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43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43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43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43" s="15">
        <f>SETUP!$E$3 * IF([PARCIAL] &gt; 0, [QTDE] / [PARCIAL], 1)</f>
        <v>14.9</v>
      </c>
      <c r="T43" s="15">
        <f>SUMPRODUCT(N([DATA]=NC[[#This Row],[DATA]]),N([ID]&lt;=NC[[#This Row],[ID]]), [CORR])</f>
        <v>29.8</v>
      </c>
      <c r="U43" s="15">
        <f>TRUNC([CORRETAGEM]*SETUP!$F$3,2)</f>
        <v>0.59</v>
      </c>
      <c r="V43" s="15">
        <f>ROUND([CORRETAGEM]*SETUP!$G$3,2)</f>
        <v>1.1599999999999999</v>
      </c>
      <c r="W43" s="15">
        <f>[VALOR LÍQUIDO DAS OPERAÇÕES]-[TAXA DE LIQUIDAÇÃO]-[EMOLUMENTOS]-[TAXA DE REGISTRO]-[CORRETAGEM]-[ISS]-IF(['[D/N']]="D",    0,    [OUTRAS BOVESPA]) - [AJUSTE]</f>
        <v>-31.55</v>
      </c>
      <c r="X43" s="15">
        <f>IF(AND(['[D/N']]="D",    [T]="CV",    [LÍQUIDO BASE] &gt; 0),    TRUNC([LÍQUIDO BASE]*0.01, 2),    0)</f>
        <v>0</v>
      </c>
      <c r="Y43" s="15">
        <f>IF([PREÇO] &gt; 0,    [LÍQUIDO BASE]-SUMPRODUCT(N([DATA]=NC[[#This Row],[DATA]]),    [IRRF FONTE]),    0)</f>
        <v>0</v>
      </c>
      <c r="Z43" s="20">
        <f>[LÍQUIDO]-SUMPRODUCT(N([DATA]=NC[[#This Row],[DATA]]),N([ID]=(NC[[#This Row],[ID]]-1)),[LÍQUIDO])</f>
        <v>0</v>
      </c>
      <c r="AA43" s="15">
        <f>IF([T] = "VC", ABS([VALOR OP]) / [QTDE], [VALOR OP]/[QTDE])</f>
        <v>0</v>
      </c>
      <c r="AB43" s="15">
        <f>TRUNC(IF(OR([T]="CV",[T]="VV"),     N43*SETUP!$H$3,     0),2)</f>
        <v>0</v>
      </c>
      <c r="AC43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43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0.30972500000000003</v>
      </c>
      <c r="AE43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43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-123.89000000000001</v>
      </c>
      <c r="AG43" s="15">
        <f>IF([LUCRO TMP] &lt;&gt; 0, [LUCRO TMP] - SUMPRODUCT(N([ATIVO]=NC[[#This Row],[ATIVO]]),N(['[D/N']]="N"),N([ID]&lt;NC[[#This Row],[ID]]),N([PAR]=NC[[#This Row],[PAR]]), [LUCRO TMP]), 0)</f>
        <v>-123.89000000000001</v>
      </c>
      <c r="AH43" s="15">
        <f>IF([U] = "U", SUMPRODUCT(N([ID]&lt;=NC[[#This Row],[ID]]),N([DATA BASE]=NC[[#This Row],[DATA BASE]]), N(['[D/N']] = "N"),    [LUCRO P/ OP]), 0)</f>
        <v>0</v>
      </c>
      <c r="AI43" s="15">
        <f>IF([U] = "U", SUMPRODUCT(N([DATA BASE]=NC[[#This Row],[DATA BASE]]), N(['[D/N']] = "D"),    [LUCRO P/ OP]), 0)</f>
        <v>0</v>
      </c>
      <c r="AJ43" s="15">
        <f>IF([U] = "U", SUMPRODUCT(N([DATA BASE]=NC[[#This Row],[DATA BASE]]), N(['[D/N']] = "D"),    [IRRF FONTE]), 0)</f>
        <v>0</v>
      </c>
      <c r="AK43" s="143">
        <f>NC[[#This Row],[LÍQUIDO]]/NC[[#This Row],[QTDE]]</f>
        <v>0</v>
      </c>
    </row>
    <row r="44" spans="1:37">
      <c r="A44" s="13">
        <v>43</v>
      </c>
      <c r="B44" s="13"/>
      <c r="C44" s="55" t="s">
        <v>79</v>
      </c>
      <c r="D44" s="13" t="s">
        <v>25</v>
      </c>
      <c r="E44" s="14">
        <v>41050</v>
      </c>
      <c r="F44" s="13">
        <v>100</v>
      </c>
      <c r="G44" s="29">
        <v>0</v>
      </c>
      <c r="H44" s="79"/>
      <c r="I44" s="35"/>
      <c r="J44" s="13" t="s">
        <v>6</v>
      </c>
      <c r="K44" s="14">
        <f>WORKDAY(NC[[#This Row],[DATA]],1,0)</f>
        <v>41051</v>
      </c>
      <c r="L44" s="22">
        <f>EOMONTH(NC[[#This Row],[DATA DE LIQUIDAÇÃO]],0)</f>
        <v>41060</v>
      </c>
      <c r="M44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44" s="15">
        <f>[QTDE]*[PREÇO]</f>
        <v>0</v>
      </c>
      <c r="O44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44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44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44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44" s="15">
        <f>SETUP!$E$3 * IF([PARCIAL] &gt; 0, [QTDE] / [PARCIAL], 1)</f>
        <v>14.9</v>
      </c>
      <c r="T44" s="15">
        <f>SUMPRODUCT(N([DATA]=NC[[#This Row],[DATA]]),N([ID]&lt;=NC[[#This Row],[ID]]), [CORR])</f>
        <v>44.7</v>
      </c>
      <c r="U44" s="15">
        <f>TRUNC([CORRETAGEM]*SETUP!$F$3,2)</f>
        <v>0.89</v>
      </c>
      <c r="V44" s="15">
        <f>ROUND([CORRETAGEM]*SETUP!$G$3,2)</f>
        <v>1.74</v>
      </c>
      <c r="W44" s="15">
        <f>[VALOR LÍQUIDO DAS OPERAÇÕES]-[TAXA DE LIQUIDAÇÃO]-[EMOLUMENTOS]-[TAXA DE REGISTRO]-[CORRETAGEM]-[ISS]-IF(['[D/N']]="D",    0,    [OUTRAS BOVESPA]) - [AJUSTE]</f>
        <v>-47.330000000000005</v>
      </c>
      <c r="X44" s="15">
        <f>IF(AND(['[D/N']]="D",    [T]="CV",    [LÍQUIDO BASE] &gt; 0),    TRUNC([LÍQUIDO BASE]*0.01, 2),    0)</f>
        <v>0</v>
      </c>
      <c r="Y44" s="15">
        <f>IF([PREÇO] &gt; 0,    [LÍQUIDO BASE]-SUMPRODUCT(N([DATA]=NC[[#This Row],[DATA]]),    [IRRF FONTE]),    0)</f>
        <v>0</v>
      </c>
      <c r="Z44" s="20">
        <f>[LÍQUIDO]-SUMPRODUCT(N([DATA]=NC[[#This Row],[DATA]]),N([ID]=(NC[[#This Row],[ID]]-1)),[LÍQUIDO])</f>
        <v>0</v>
      </c>
      <c r="AA44" s="15">
        <f>IF([T] = "VC", ABS([VALOR OP]) / [QTDE], [VALOR OP]/[QTDE])</f>
        <v>0</v>
      </c>
      <c r="AB44" s="15">
        <f>TRUNC(IF(OR([T]="CV",[T]="VV"),     N44*SETUP!$H$3,     0),2)</f>
        <v>0</v>
      </c>
      <c r="AC44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44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0.45799999999999996</v>
      </c>
      <c r="AE44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44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-45.8</v>
      </c>
      <c r="AG44" s="15">
        <f>IF([LUCRO TMP] &lt;&gt; 0, [LUCRO TMP] - SUMPRODUCT(N([ATIVO]=NC[[#This Row],[ATIVO]]),N(['[D/N']]="N"),N([ID]&lt;NC[[#This Row],[ID]]),N([PAR]=NC[[#This Row],[PAR]]), [LUCRO TMP]), 0)</f>
        <v>-45.8</v>
      </c>
      <c r="AH44" s="15">
        <f>IF([U] = "U", SUMPRODUCT(N([ID]&lt;=NC[[#This Row],[ID]]),N([DATA BASE]=NC[[#This Row],[DATA BASE]]), N(['[D/N']] = "N"),    [LUCRO P/ OP]), 0)</f>
        <v>0</v>
      </c>
      <c r="AI44" s="15">
        <f>IF([U] = "U", SUMPRODUCT(N([DATA BASE]=NC[[#This Row],[DATA BASE]]), N(['[D/N']] = "D"),    [LUCRO P/ OP]), 0)</f>
        <v>0</v>
      </c>
      <c r="AJ44" s="15">
        <f>IF([U] = "U", SUMPRODUCT(N([DATA BASE]=NC[[#This Row],[DATA BASE]]), N(['[D/N']] = "D"),    [IRRF FONTE]), 0)</f>
        <v>0</v>
      </c>
      <c r="AK44" s="143">
        <f>NC[[#This Row],[LÍQUIDO]]/NC[[#This Row],[QTDE]]</f>
        <v>0</v>
      </c>
    </row>
    <row r="45" spans="1:37">
      <c r="A45" s="13">
        <v>44</v>
      </c>
      <c r="B45" s="43"/>
      <c r="C45" s="55" t="s">
        <v>85</v>
      </c>
      <c r="D45" s="43" t="s">
        <v>25</v>
      </c>
      <c r="E45" s="14">
        <v>41050</v>
      </c>
      <c r="F45" s="43">
        <v>900</v>
      </c>
      <c r="G45" s="42">
        <v>0</v>
      </c>
      <c r="H45" s="76"/>
      <c r="I45" s="49"/>
      <c r="J45" s="43" t="s">
        <v>6</v>
      </c>
      <c r="K45" s="44">
        <f>WORKDAY(NC[[#This Row],[DATA]],1,0)</f>
        <v>41051</v>
      </c>
      <c r="L45" s="45">
        <f>EOMONTH(NC[[#This Row],[DATA DE LIQUIDAÇÃO]],0)</f>
        <v>41060</v>
      </c>
      <c r="M45" s="4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45" s="42">
        <f>[QTDE]*[PREÇO]</f>
        <v>0</v>
      </c>
      <c r="O45" s="42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45" s="42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45" s="42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45" s="42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45" s="42">
        <f>SETUP!$E$3 * IF([PARCIAL] &gt; 0, [QTDE] / [PARCIAL], 1)</f>
        <v>14.9</v>
      </c>
      <c r="T45" s="42">
        <f>SUMPRODUCT(N([DATA]=NC[[#This Row],[DATA]]),N([ID]&lt;=NC[[#This Row],[ID]]), [CORR])</f>
        <v>59.6</v>
      </c>
      <c r="U45" s="42">
        <f>TRUNC([CORRETAGEM]*SETUP!$F$3,2)</f>
        <v>1.19</v>
      </c>
      <c r="V45" s="42">
        <f>ROUND([CORRETAGEM]*SETUP!$G$3,2)</f>
        <v>2.3199999999999998</v>
      </c>
      <c r="W45" s="42">
        <f>[VALOR LÍQUIDO DAS OPERAÇÕES]-[TAXA DE LIQUIDAÇÃO]-[EMOLUMENTOS]-[TAXA DE REGISTRO]-[CORRETAGEM]-[ISS]-IF(['[D/N']]="D",    0,    [OUTRAS BOVESPA]) - [AJUSTE]</f>
        <v>-63.11</v>
      </c>
      <c r="X45" s="42">
        <f>IF(AND(['[D/N']]="D",    [T]="CV",    [LÍQUIDO BASE] &gt; 0),    TRUNC([LÍQUIDO BASE]*0.01, 2),    0)</f>
        <v>0</v>
      </c>
      <c r="Y45" s="15">
        <f>IF([PREÇO] &gt; 0,    [LÍQUIDO BASE]-SUMPRODUCT(N([DATA]=NC[[#This Row],[DATA]]),    [IRRF FONTE]),    0)</f>
        <v>0</v>
      </c>
      <c r="Z45" s="46">
        <f>[LÍQUIDO]-SUMPRODUCT(N([DATA]=NC[[#This Row],[DATA]]),N([ID]=(NC[[#This Row],[ID]]-1)),[LÍQUIDO])</f>
        <v>0</v>
      </c>
      <c r="AA45" s="42">
        <f>IF([T] = "VC", ABS([VALOR OP]) / [QTDE], [VALOR OP]/[QTDE])</f>
        <v>0</v>
      </c>
      <c r="AB45" s="42">
        <f>TRUNC(IF(OR([T]="CV",[T]="VV"),     N45*SETUP!$H$3,     0),2)</f>
        <v>0</v>
      </c>
      <c r="AC45" s="4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45" s="47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0.51818888888888892</v>
      </c>
      <c r="AE45" s="47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45" s="48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-466.37</v>
      </c>
      <c r="AG45" s="42">
        <f>IF([LUCRO TMP] &lt;&gt; 0, [LUCRO TMP] - SUMPRODUCT(N([ATIVO]=NC[[#This Row],[ATIVO]]),N(['[D/N']]="N"),N([ID]&lt;NC[[#This Row],[ID]]),N([PAR]=NC[[#This Row],[PAR]]), [LUCRO TMP]), 0)</f>
        <v>-466.37</v>
      </c>
      <c r="AH45" s="42">
        <f>IF([U] = "U", SUMPRODUCT(N([ID]&lt;=NC[[#This Row],[ID]]),N([DATA BASE]=NC[[#This Row],[DATA BASE]]), N(['[D/N']] = "N"),    [LUCRO P/ OP]), 0)</f>
        <v>0</v>
      </c>
      <c r="AI45" s="42">
        <f>IF([U] = "U", SUMPRODUCT(N([DATA BASE]=NC[[#This Row],[DATA BASE]]), N(['[D/N']] = "D"),    [LUCRO P/ OP]), 0)</f>
        <v>0</v>
      </c>
      <c r="AJ45" s="15">
        <f>IF([U] = "U", SUMPRODUCT(N([DATA BASE]=NC[[#This Row],[DATA BASE]]), N(['[D/N']] = "D"),    [IRRF FONTE]), 0)</f>
        <v>0</v>
      </c>
      <c r="AK45" s="143">
        <f>NC[[#This Row],[LÍQUIDO]]/NC[[#This Row],[QTDE]]</f>
        <v>0</v>
      </c>
    </row>
    <row r="46" spans="1:37">
      <c r="A46" s="13">
        <v>45</v>
      </c>
      <c r="B46" s="13"/>
      <c r="C46" s="55" t="s">
        <v>110</v>
      </c>
      <c r="D46" s="43" t="s">
        <v>66</v>
      </c>
      <c r="E46" s="44">
        <v>41051</v>
      </c>
      <c r="F46" s="43">
        <v>1000</v>
      </c>
      <c r="G46" s="42">
        <v>0.94</v>
      </c>
      <c r="H46" s="76"/>
      <c r="I46" s="49"/>
      <c r="J46" s="13" t="s">
        <v>6</v>
      </c>
      <c r="K46" s="44">
        <f>WORKDAY(NC[[#This Row],[DATA]],1,0)</f>
        <v>41052</v>
      </c>
      <c r="L46" s="45">
        <f>EOMONTH(NC[[#This Row],[DATA DE LIQUIDAÇÃO]],0)</f>
        <v>41060</v>
      </c>
      <c r="M46" s="4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46" s="42">
        <f>[QTDE]*[PREÇO]</f>
        <v>940</v>
      </c>
      <c r="O46" s="42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940</v>
      </c>
      <c r="P46" s="42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0.25</v>
      </c>
      <c r="Q46" s="42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0.34</v>
      </c>
      <c r="R46" s="42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0.65</v>
      </c>
      <c r="S46" s="42">
        <f>SETUP!$E$3 * IF([PARCIAL] &gt; 0, [QTDE] / [PARCIAL], 1)</f>
        <v>14.9</v>
      </c>
      <c r="T46" s="42">
        <f>SUMPRODUCT(N([DATA]=NC[[#This Row],[DATA]]),N([ID]&lt;=NC[[#This Row],[ID]]), [CORR])</f>
        <v>14.9</v>
      </c>
      <c r="U46" s="42">
        <f>TRUNC([CORRETAGEM]*SETUP!$F$3,2)</f>
        <v>0.28999999999999998</v>
      </c>
      <c r="V46" s="42">
        <f>ROUND([CORRETAGEM]*SETUP!$G$3,2)</f>
        <v>0.57999999999999996</v>
      </c>
      <c r="W46" s="42">
        <f>[VALOR LÍQUIDO DAS OPERAÇÕES]-[TAXA DE LIQUIDAÇÃO]-[EMOLUMENTOS]-[TAXA DE REGISTRO]-[CORRETAGEM]-[ISS]-IF(['[D/N']]="D",    0,    [OUTRAS BOVESPA]) - [AJUSTE]</f>
        <v>922.99</v>
      </c>
      <c r="X46" s="42">
        <f>IF(AND(['[D/N']]="D",    [T]="CV",    [LÍQUIDO BASE] &gt; 0),    TRUNC([LÍQUIDO BASE]*0.01, 2),    0)</f>
        <v>0</v>
      </c>
      <c r="Y46" s="15">
        <f>IF([PREÇO] &gt; 0,    [LÍQUIDO BASE]-SUMPRODUCT(N([DATA]=NC[[#This Row],[DATA]]),    [IRRF FONTE]),    0)</f>
        <v>922.99</v>
      </c>
      <c r="Z46" s="46">
        <f>[LÍQUIDO]-SUMPRODUCT(N([DATA]=NC[[#This Row],[DATA]]),N([ID]=(NC[[#This Row],[ID]]-1)),[LÍQUIDO])</f>
        <v>922.99</v>
      </c>
      <c r="AA46" s="42">
        <f>IF([T] = "VC", ABS([VALOR OP]) / [QTDE], [VALOR OP]/[QTDE])</f>
        <v>0.92298999999999998</v>
      </c>
      <c r="AB46" s="42">
        <f>TRUNC(IF(OR([T]="CV",[T]="VV"),     N46*SETUP!$H$3,     0),2)</f>
        <v>0.04</v>
      </c>
      <c r="AC46" s="4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-1000</v>
      </c>
      <c r="AD46" s="47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</v>
      </c>
      <c r="AE46" s="47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0.92298999999999998</v>
      </c>
      <c r="AF46" s="48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46" s="42">
        <f>IF([LUCRO TMP] &lt;&gt; 0, [LUCRO TMP] - SUMPRODUCT(N([ATIVO]=NC[[#This Row],[ATIVO]]),N(['[D/N']]="N"),N([ID]&lt;NC[[#This Row],[ID]]),N([PAR]=NC[[#This Row],[PAR]]), [LUCRO TMP]), 0)</f>
        <v>0</v>
      </c>
      <c r="AH46" s="42">
        <f>IF([U] = "U", SUMPRODUCT(N([ID]&lt;=NC[[#This Row],[ID]]),N([DATA BASE]=NC[[#This Row],[DATA BASE]]), N(['[D/N']] = "N"),    [LUCRO P/ OP]), 0)</f>
        <v>0</v>
      </c>
      <c r="AI46" s="42">
        <f>IF([U] = "U", SUMPRODUCT(N([DATA BASE]=NC[[#This Row],[DATA BASE]]), N(['[D/N']] = "D"),    [LUCRO P/ OP]), 0)</f>
        <v>0</v>
      </c>
      <c r="AJ46" s="15">
        <f>IF([U] = "U", SUMPRODUCT(N([DATA BASE]=NC[[#This Row],[DATA BASE]]), N(['[D/N']] = "D"),    [IRRF FONTE]), 0)</f>
        <v>0</v>
      </c>
      <c r="AK46" s="143">
        <f>NC[[#This Row],[LÍQUIDO]]/NC[[#This Row],[QTDE]]</f>
        <v>0.92298999999999998</v>
      </c>
    </row>
    <row r="47" spans="1:37">
      <c r="A47" s="13">
        <v>46</v>
      </c>
      <c r="B47" s="13" t="s">
        <v>49</v>
      </c>
      <c r="C47" s="55" t="s">
        <v>111</v>
      </c>
      <c r="D47" s="13" t="s">
        <v>24</v>
      </c>
      <c r="E47" s="14">
        <v>41051</v>
      </c>
      <c r="F47" s="13">
        <v>1000</v>
      </c>
      <c r="G47" s="15">
        <v>0.45</v>
      </c>
      <c r="H47" s="78"/>
      <c r="I47" s="19"/>
      <c r="J47" s="13" t="s">
        <v>6</v>
      </c>
      <c r="K47" s="14">
        <f>WORKDAY(NC[[#This Row],[DATA]],1,0)</f>
        <v>41052</v>
      </c>
      <c r="L47" s="56">
        <f>EOMONTH(NC[[#This Row],[DATA DE LIQUIDAÇÃO]],0)</f>
        <v>41060</v>
      </c>
      <c r="M47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47" s="15">
        <f>[QTDE]*[PREÇO]</f>
        <v>450</v>
      </c>
      <c r="O47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490</v>
      </c>
      <c r="P47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0.38</v>
      </c>
      <c r="Q47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0.51</v>
      </c>
      <c r="R47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0.96</v>
      </c>
      <c r="S47" s="15">
        <f>SETUP!$E$3 * IF([PARCIAL] &gt; 0, [QTDE] / [PARCIAL], 1)</f>
        <v>14.9</v>
      </c>
      <c r="T47" s="15">
        <f>SUMPRODUCT(N([DATA]=NC[[#This Row],[DATA]]),N([ID]&lt;=NC[[#This Row],[ID]]), [CORR])</f>
        <v>29.8</v>
      </c>
      <c r="U47" s="15">
        <f>TRUNC([CORRETAGEM]*SETUP!$F$3,2)</f>
        <v>0.59</v>
      </c>
      <c r="V47" s="15">
        <f>ROUND([CORRETAGEM]*SETUP!$G$3,2)</f>
        <v>1.1599999999999999</v>
      </c>
      <c r="W47" s="15">
        <f>[VALOR LÍQUIDO DAS OPERAÇÕES]-[TAXA DE LIQUIDAÇÃO]-[EMOLUMENTOS]-[TAXA DE REGISTRO]-[CORRETAGEM]-[ISS]-IF(['[D/N']]="D",    0,    [OUTRAS BOVESPA]) - [AJUSTE]</f>
        <v>456.6</v>
      </c>
      <c r="X47" s="15">
        <f>IF(AND(['[D/N']]="D",    [T]="CV",    [LÍQUIDO BASE] &gt; 0),    TRUNC([LÍQUIDO BASE]*0.01, 2),    0)</f>
        <v>0</v>
      </c>
      <c r="Y47" s="15">
        <f>IF([PREÇO] &gt; 0,    [LÍQUIDO BASE]-SUMPRODUCT(N([DATA]=NC[[#This Row],[DATA]]),    [IRRF FONTE]),    0)</f>
        <v>456.6</v>
      </c>
      <c r="Z47" s="20">
        <f>[LÍQUIDO]-SUMPRODUCT(N([DATA]=NC[[#This Row],[DATA]]),N([ID]=(NC[[#This Row],[ID]]-1)),[LÍQUIDO])</f>
        <v>-466.39</v>
      </c>
      <c r="AA47" s="15">
        <f>IF([T] = "VC", ABS([VALOR OP]) / [QTDE], [VALOR OP]/[QTDE])</f>
        <v>-0.46638999999999997</v>
      </c>
      <c r="AB47" s="15">
        <f>TRUNC(IF(OR([T]="CV",[T]="VV"),     N47*SETUP!$H$3,     0),2)</f>
        <v>0</v>
      </c>
      <c r="AC47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1000</v>
      </c>
      <c r="AD47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0.46638999999999997</v>
      </c>
      <c r="AE47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47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47" s="15">
        <f>IF([LUCRO TMP] &lt;&gt; 0, [LUCRO TMP] - SUMPRODUCT(N([ATIVO]=NC[[#This Row],[ATIVO]]),N(['[D/N']]="N"),N([ID]&lt;NC[[#This Row],[ID]]),N([PAR]=NC[[#This Row],[PAR]]), [LUCRO TMP]), 0)</f>
        <v>0</v>
      </c>
      <c r="AH47" s="15">
        <f>IF([U] = "U", SUMPRODUCT(N([ID]&lt;=NC[[#This Row],[ID]]),N([DATA BASE]=NC[[#This Row],[DATA BASE]]), N(['[D/N']] = "N"),    [LUCRO P/ OP]), 0)</f>
        <v>431.77000000000021</v>
      </c>
      <c r="AI47" s="15">
        <f>IF([U] = "U", SUMPRODUCT(N([DATA BASE]=NC[[#This Row],[DATA BASE]]), N(['[D/N']] = "D"),    [LUCRO P/ OP]), 0)</f>
        <v>0</v>
      </c>
      <c r="AJ47" s="15">
        <f>IF([U] = "U", SUMPRODUCT(N([DATA BASE]=NC[[#This Row],[DATA BASE]]), N(['[D/N']] = "D"),    [IRRF FONTE]), 0)</f>
        <v>0</v>
      </c>
      <c r="AK47" s="143">
        <f>NC[[#This Row],[LÍQUIDO]]/NC[[#This Row],[QTDE]]</f>
        <v>0.45660000000000001</v>
      </c>
    </row>
    <row r="48" spans="1:37">
      <c r="A48" s="13">
        <v>47</v>
      </c>
      <c r="B48" s="43"/>
      <c r="C48" s="43" t="s">
        <v>113</v>
      </c>
      <c r="D48" s="43" t="s">
        <v>24</v>
      </c>
      <c r="E48" s="44">
        <v>41068</v>
      </c>
      <c r="F48" s="43">
        <v>1600</v>
      </c>
      <c r="G48" s="42">
        <v>0.78</v>
      </c>
      <c r="H48" s="76"/>
      <c r="I48" s="49"/>
      <c r="J48" s="43" t="s">
        <v>6</v>
      </c>
      <c r="K48" s="44">
        <f>WORKDAY(NC[[#This Row],[DATA]],1,0)</f>
        <v>41071</v>
      </c>
      <c r="L48" s="64">
        <f>EOMONTH(NC[[#This Row],[DATA DE LIQUIDAÇÃO]],0)</f>
        <v>41090</v>
      </c>
      <c r="M48" s="4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48" s="42">
        <f>[QTDE]*[PREÇO]</f>
        <v>1248</v>
      </c>
      <c r="O48" s="42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-1248</v>
      </c>
      <c r="P48" s="42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0.34</v>
      </c>
      <c r="Q48" s="42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0.46</v>
      </c>
      <c r="R48" s="42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0.86</v>
      </c>
      <c r="S48" s="42">
        <f>SETUP!$E$3 * IF([PARCIAL] &gt; 0, [QTDE] / [PARCIAL], 1)</f>
        <v>14.9</v>
      </c>
      <c r="T48" s="42">
        <f>SUMPRODUCT(N([DATA]=NC[[#This Row],[DATA]]),N([ID]&lt;=NC[[#This Row],[ID]]), [CORR])</f>
        <v>14.9</v>
      </c>
      <c r="U48" s="42">
        <f>TRUNC([CORRETAGEM]*SETUP!$F$3,2)</f>
        <v>0.28999999999999998</v>
      </c>
      <c r="V48" s="42">
        <f>ROUND([CORRETAGEM]*SETUP!$G$3,2)</f>
        <v>0.57999999999999996</v>
      </c>
      <c r="W48" s="42">
        <f>[VALOR LÍQUIDO DAS OPERAÇÕES]-[TAXA DE LIQUIDAÇÃO]-[EMOLUMENTOS]-[TAXA DE REGISTRO]-[CORRETAGEM]-[ISS]-IF(['[D/N']]="D",    0,    [OUTRAS BOVESPA]) - [AJUSTE]</f>
        <v>-1265.4299999999998</v>
      </c>
      <c r="X48" s="42">
        <f>IF(AND(['[D/N']]="D",    [T]="CV",    [LÍQUIDO BASE] &gt; 0),    TRUNC([LÍQUIDO BASE]*0.01, 2),    0)</f>
        <v>0</v>
      </c>
      <c r="Y48" s="15">
        <f>IF([PREÇO] &gt; 0,    [LÍQUIDO BASE]-SUMPRODUCT(N([DATA]=NC[[#This Row],[DATA]]),    [IRRF FONTE]),    0)</f>
        <v>-1265.4299999999998</v>
      </c>
      <c r="Z48" s="46">
        <f>[LÍQUIDO]-SUMPRODUCT(N([DATA]=NC[[#This Row],[DATA]]),N([ID]=(NC[[#This Row],[ID]]-1)),[LÍQUIDO])</f>
        <v>-1265.4299999999998</v>
      </c>
      <c r="AA48" s="42">
        <f>IF([T] = "VC", ABS([VALOR OP]) / [QTDE], [VALOR OP]/[QTDE])</f>
        <v>-0.79089374999999995</v>
      </c>
      <c r="AB48" s="42">
        <f>TRUNC(IF(OR([T]="CV",[T]="VV"),     N48*SETUP!$H$3,     0),2)</f>
        <v>0</v>
      </c>
      <c r="AC48" s="4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1600</v>
      </c>
      <c r="AD48" s="47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0.79089374999999995</v>
      </c>
      <c r="AE48" s="47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48" s="48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48" s="42">
        <f>IF([LUCRO TMP] &lt;&gt; 0, [LUCRO TMP] - SUMPRODUCT(N([ATIVO]=NC[[#This Row],[ATIVO]]),N(['[D/N']]="N"),N([ID]&lt;NC[[#This Row],[ID]]),N([PAR]=NC[[#This Row],[PAR]]), [LUCRO TMP]), 0)</f>
        <v>0</v>
      </c>
      <c r="AH48" s="42">
        <f>IF([U] = "U", SUMPRODUCT(N([ID]&lt;=NC[[#This Row],[ID]]),N([DATA BASE]=NC[[#This Row],[DATA BASE]]), N(['[D/N']] = "N"),    [LUCRO P/ OP]), 0)</f>
        <v>0</v>
      </c>
      <c r="AI48" s="42">
        <f>IF([U] = "U", SUMPRODUCT(N([DATA BASE]=NC[[#This Row],[DATA BASE]]), N(['[D/N']] = "D"),    [LUCRO P/ OP]), 0)</f>
        <v>0</v>
      </c>
      <c r="AJ48" s="15">
        <f>IF([U] = "U", SUMPRODUCT(N([DATA BASE]=NC[[#This Row],[DATA BASE]]), N(['[D/N']] = "D"),    [IRRF FONTE]), 0)</f>
        <v>0</v>
      </c>
      <c r="AK48" s="143">
        <f>NC[[#This Row],[LÍQUIDO]]/NC[[#This Row],[QTDE]]</f>
        <v>-0.79089374999999995</v>
      </c>
    </row>
    <row r="49" spans="1:37">
      <c r="A49" s="13">
        <v>48</v>
      </c>
      <c r="B49" s="13"/>
      <c r="C49" s="55" t="s">
        <v>103</v>
      </c>
      <c r="D49" s="13" t="s">
        <v>67</v>
      </c>
      <c r="E49" s="14">
        <v>41073</v>
      </c>
      <c r="F49" s="13">
        <v>200</v>
      </c>
      <c r="G49" s="15">
        <v>0.01</v>
      </c>
      <c r="H49" s="78"/>
      <c r="I49" s="19"/>
      <c r="J49" s="13" t="s">
        <v>6</v>
      </c>
      <c r="K49" s="14">
        <f>WORKDAY(NC[[#This Row],[DATA]],1,0)</f>
        <v>41074</v>
      </c>
      <c r="L49" s="56">
        <f>EOMONTH(NC[[#This Row],[DATA DE LIQUIDAÇÃO]],0)</f>
        <v>41090</v>
      </c>
      <c r="M49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49" s="15">
        <f>[QTDE]*[PREÇO]</f>
        <v>2</v>
      </c>
      <c r="O49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-2</v>
      </c>
      <c r="P49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49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49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49" s="15">
        <f>SETUP!$E$3 * IF([PARCIAL] &gt; 0, [QTDE] / [PARCIAL], 1)</f>
        <v>14.9</v>
      </c>
      <c r="T49" s="15">
        <f>SUMPRODUCT(N([DATA]=NC[[#This Row],[DATA]]),N([ID]&lt;=NC[[#This Row],[ID]]), [CORR])</f>
        <v>14.9</v>
      </c>
      <c r="U49" s="15">
        <f>TRUNC([CORRETAGEM]*SETUP!$F$3,2)</f>
        <v>0.28999999999999998</v>
      </c>
      <c r="V49" s="15">
        <f>ROUND([CORRETAGEM]*SETUP!$G$3,2)</f>
        <v>0.57999999999999996</v>
      </c>
      <c r="W49" s="15">
        <f>[VALOR LÍQUIDO DAS OPERAÇÕES]-[TAXA DE LIQUIDAÇÃO]-[EMOLUMENTOS]-[TAXA DE REGISTRO]-[CORRETAGEM]-[ISS]-IF(['[D/N']]="D",    0,    [OUTRAS BOVESPA]) - [AJUSTE]</f>
        <v>-17.769999999999996</v>
      </c>
      <c r="X49" s="15">
        <f>IF(AND(['[D/N']]="D",    [T]="CV",    [LÍQUIDO BASE] &gt; 0),    TRUNC([LÍQUIDO BASE]*0.01, 2),    0)</f>
        <v>0</v>
      </c>
      <c r="Y49" s="15">
        <f>IF([PREÇO] &gt; 0,    [LÍQUIDO BASE]-SUMPRODUCT(N([DATA]=NC[[#This Row],[DATA]]),    [IRRF FONTE]),    0)</f>
        <v>-17.769999999999996</v>
      </c>
      <c r="Z49" s="20">
        <f>[LÍQUIDO]-SUMPRODUCT(N([DATA]=NC[[#This Row],[DATA]]),N([ID]=(NC[[#This Row],[ID]]-1)),[LÍQUIDO])</f>
        <v>-17.769999999999996</v>
      </c>
      <c r="AA49" s="15">
        <f>IF([T] = "VC", ABS([VALOR OP]) / [QTDE], [VALOR OP]/[QTDE])</f>
        <v>8.8849999999999985E-2</v>
      </c>
      <c r="AB49" s="15">
        <f>TRUNC(IF(OR([T]="CV",[T]="VV"),     N49*SETUP!$H$3,     0),2)</f>
        <v>0</v>
      </c>
      <c r="AC49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49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8.8849999999999985E-2</v>
      </c>
      <c r="AE49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1.28925</v>
      </c>
      <c r="AF49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240.08000000000004</v>
      </c>
      <c r="AG49" s="15">
        <f>IF([LUCRO TMP] &lt;&gt; 0, [LUCRO TMP] - SUMPRODUCT(N([ATIVO]=NC[[#This Row],[ATIVO]]),N(['[D/N']]="N"),N([ID]&lt;NC[[#This Row],[ID]]),N([PAR]=NC[[#This Row],[PAR]]), [LUCRO TMP]), 0)</f>
        <v>240.08000000000004</v>
      </c>
      <c r="AH49" s="15">
        <f>IF([U] = "U", SUMPRODUCT(N([ID]&lt;=NC[[#This Row],[ID]]),N([DATA BASE]=NC[[#This Row],[DATA BASE]]), N(['[D/N']] = "N"),    [LUCRO P/ OP]), 0)</f>
        <v>0</v>
      </c>
      <c r="AI49" s="15">
        <f>IF([U] = "U", SUMPRODUCT(N([DATA BASE]=NC[[#This Row],[DATA BASE]]), N(['[D/N']] = "D"),    [LUCRO P/ OP]), 0)</f>
        <v>0</v>
      </c>
      <c r="AJ49" s="15">
        <f>IF([U] = "U", SUMPRODUCT(N([DATA BASE]=NC[[#This Row],[DATA BASE]]), N(['[D/N']] = "D"),    [IRRF FONTE]), 0)</f>
        <v>0</v>
      </c>
      <c r="AK49" s="143">
        <f>NC[[#This Row],[LÍQUIDO]]/NC[[#This Row],[QTDE]]</f>
        <v>-8.8849999999999985E-2</v>
      </c>
    </row>
    <row r="50" spans="1:37">
      <c r="A50" s="13">
        <v>49</v>
      </c>
      <c r="B50" s="13"/>
      <c r="C50" s="55" t="s">
        <v>110</v>
      </c>
      <c r="D50" s="13" t="s">
        <v>67</v>
      </c>
      <c r="E50" s="14">
        <v>41074</v>
      </c>
      <c r="F50" s="13">
        <v>1000</v>
      </c>
      <c r="G50" s="15">
        <v>0.01</v>
      </c>
      <c r="H50" s="78"/>
      <c r="I50" s="19"/>
      <c r="J50" s="13" t="s">
        <v>6</v>
      </c>
      <c r="K50" s="14">
        <f>WORKDAY(NC[[#This Row],[DATA]],1,0)</f>
        <v>41075</v>
      </c>
      <c r="L50" s="56">
        <f>EOMONTH(NC[[#This Row],[DATA DE LIQUIDAÇÃO]],0)</f>
        <v>41090</v>
      </c>
      <c r="M50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50" s="15">
        <f>[QTDE]*[PREÇO]</f>
        <v>10</v>
      </c>
      <c r="O50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-10</v>
      </c>
      <c r="P50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50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50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50" s="15">
        <f>SETUP!$E$3 * IF([PARCIAL] &gt; 0, [QTDE] / [PARCIAL], 1)</f>
        <v>14.9</v>
      </c>
      <c r="T50" s="15">
        <f>SUMPRODUCT(N([DATA]=NC[[#This Row],[DATA]]),N([ID]&lt;=NC[[#This Row],[ID]]), [CORR])</f>
        <v>14.9</v>
      </c>
      <c r="U50" s="15">
        <f>TRUNC([CORRETAGEM]*SETUP!$F$3,2)</f>
        <v>0.28999999999999998</v>
      </c>
      <c r="V50" s="15">
        <f>ROUND([CORRETAGEM]*SETUP!$G$3,2)</f>
        <v>0.57999999999999996</v>
      </c>
      <c r="W50" s="15">
        <f>[VALOR LÍQUIDO DAS OPERAÇÕES]-[TAXA DE LIQUIDAÇÃO]-[EMOLUMENTOS]-[TAXA DE REGISTRO]-[CORRETAGEM]-[ISS]-IF(['[D/N']]="D",    0,    [OUTRAS BOVESPA]) - [AJUSTE]</f>
        <v>-25.769999999999996</v>
      </c>
      <c r="X50" s="15">
        <f>IF(AND(['[D/N']]="D",    [T]="CV",    [LÍQUIDO BASE] &gt; 0),    TRUNC([LÍQUIDO BASE]*0.01, 2),    0)</f>
        <v>0</v>
      </c>
      <c r="Y50" s="15">
        <f>IF([PREÇO] &gt; 0,    [LÍQUIDO BASE]-SUMPRODUCT(N([DATA]=NC[[#This Row],[DATA]]),    [IRRF FONTE]),    0)</f>
        <v>-25.769999999999996</v>
      </c>
      <c r="Z50" s="20">
        <f>[LÍQUIDO]-SUMPRODUCT(N([DATA]=NC[[#This Row],[DATA]]),N([ID]=(NC[[#This Row],[ID]]-1)),[LÍQUIDO])</f>
        <v>-25.769999999999996</v>
      </c>
      <c r="AA50" s="15">
        <f>IF([T] = "VC", ABS([VALOR OP]) / [QTDE], [VALOR OP]/[QTDE])</f>
        <v>2.5769999999999994E-2</v>
      </c>
      <c r="AB50" s="15">
        <f>TRUNC(IF(OR([T]="CV",[T]="VV"),     N50*SETUP!$H$3,     0),2)</f>
        <v>0</v>
      </c>
      <c r="AC50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50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2.5769999999999994E-2</v>
      </c>
      <c r="AE50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0.92298999999999998</v>
      </c>
      <c r="AF50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897.22</v>
      </c>
      <c r="AG50" s="15">
        <f>IF([LUCRO TMP] &lt;&gt; 0, [LUCRO TMP] - SUMPRODUCT(N([ATIVO]=NC[[#This Row],[ATIVO]]),N(['[D/N']]="N"),N([ID]&lt;NC[[#This Row],[ID]]),N([PAR]=NC[[#This Row],[PAR]]), [LUCRO TMP]), 0)</f>
        <v>897.22</v>
      </c>
      <c r="AH50" s="15">
        <f>IF([U] = "U", SUMPRODUCT(N([ID]&lt;=NC[[#This Row],[ID]]),N([DATA BASE]=NC[[#This Row],[DATA BASE]]), N(['[D/N']] = "N"),    [LUCRO P/ OP]), 0)</f>
        <v>0</v>
      </c>
      <c r="AI50" s="15">
        <f>IF([U] = "U", SUMPRODUCT(N([DATA BASE]=NC[[#This Row],[DATA BASE]]), N(['[D/N']] = "D"),    [LUCRO P/ OP]), 0)</f>
        <v>0</v>
      </c>
      <c r="AJ50" s="15">
        <f>IF([U] = "U", SUMPRODUCT(N([DATA BASE]=NC[[#This Row],[DATA BASE]]), N(['[D/N']] = "D"),    [IRRF FONTE]), 0)</f>
        <v>0</v>
      </c>
      <c r="AK50" s="143">
        <f>NC[[#This Row],[LÍQUIDO]]/NC[[#This Row],[QTDE]]</f>
        <v>-2.5769999999999994E-2</v>
      </c>
    </row>
    <row r="51" spans="1:37">
      <c r="A51" s="13">
        <v>50</v>
      </c>
      <c r="B51" s="43"/>
      <c r="C51" s="43" t="s">
        <v>113</v>
      </c>
      <c r="D51" s="43" t="s">
        <v>25</v>
      </c>
      <c r="E51" s="44">
        <v>41075</v>
      </c>
      <c r="F51" s="43">
        <v>1600</v>
      </c>
      <c r="G51" s="42">
        <v>1.29</v>
      </c>
      <c r="H51" s="78"/>
      <c r="I51" s="19"/>
      <c r="J51" s="43" t="s">
        <v>6</v>
      </c>
      <c r="K51" s="44">
        <f>WORKDAY(NC[[#This Row],[DATA]],1,0)</f>
        <v>41078</v>
      </c>
      <c r="L51" s="64">
        <f>EOMONTH(NC[[#This Row],[DATA DE LIQUIDAÇÃO]],0)</f>
        <v>41090</v>
      </c>
      <c r="M51" s="4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51" s="42">
        <f>[QTDE]*[PREÇO]</f>
        <v>2064</v>
      </c>
      <c r="O51" s="42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2064</v>
      </c>
      <c r="P51" s="42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0.56000000000000005</v>
      </c>
      <c r="Q51" s="42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0.76</v>
      </c>
      <c r="R51" s="42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1.43</v>
      </c>
      <c r="S51" s="42">
        <f>SETUP!$E$3 * IF([PARCIAL] &gt; 0, [QTDE] / [PARCIAL], 1)</f>
        <v>14.9</v>
      </c>
      <c r="T51" s="42">
        <f>SUMPRODUCT(N([DATA]=NC[[#This Row],[DATA]]),N([ID]&lt;=NC[[#This Row],[ID]]), [CORR])</f>
        <v>14.9</v>
      </c>
      <c r="U51" s="42">
        <f>TRUNC([CORRETAGEM]*SETUP!$F$3,2)</f>
        <v>0.28999999999999998</v>
      </c>
      <c r="V51" s="42">
        <f>ROUND([CORRETAGEM]*SETUP!$G$3,2)</f>
        <v>0.57999999999999996</v>
      </c>
      <c r="W51" s="42">
        <f>[VALOR LÍQUIDO DAS OPERAÇÕES]-[TAXA DE LIQUIDAÇÃO]-[EMOLUMENTOS]-[TAXA DE REGISTRO]-[CORRETAGEM]-[ISS]-IF(['[D/N']]="D",    0,    [OUTRAS BOVESPA]) - [AJUSTE]</f>
        <v>2045.48</v>
      </c>
      <c r="X51" s="42">
        <f>IF(AND(['[D/N']]="D",    [T]="CV",    [LÍQUIDO BASE] &gt; 0),    TRUNC([LÍQUIDO BASE]*0.01, 2),    0)</f>
        <v>0</v>
      </c>
      <c r="Y51" s="15">
        <f>IF([PREÇO] &gt; 0,    [LÍQUIDO BASE]-SUMPRODUCT(N([DATA]=NC[[#This Row],[DATA]]),    [IRRF FONTE]),    0)</f>
        <v>2045.48</v>
      </c>
      <c r="Z51" s="46">
        <f>[LÍQUIDO]-SUMPRODUCT(N([DATA]=NC[[#This Row],[DATA]]),N([ID]=(NC[[#This Row],[ID]]-1)),[LÍQUIDO])</f>
        <v>2045.48</v>
      </c>
      <c r="AA51" s="42">
        <f>IF([T] = "VC", ABS([VALOR OP]) / [QTDE], [VALOR OP]/[QTDE])</f>
        <v>1.2784249999999999</v>
      </c>
      <c r="AB51" s="42">
        <f>TRUNC(IF(OR([T]="CV",[T]="VV"),     N51*SETUP!$H$3,     0),2)</f>
        <v>0.1</v>
      </c>
      <c r="AC51" s="4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51" s="47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0.79089374999999995</v>
      </c>
      <c r="AE51" s="47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1.2784249999999999</v>
      </c>
      <c r="AF51" s="48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780.05</v>
      </c>
      <c r="AG51" s="42">
        <f>IF([LUCRO TMP] &lt;&gt; 0, [LUCRO TMP] - SUMPRODUCT(N([ATIVO]=NC[[#This Row],[ATIVO]]),N(['[D/N']]="N"),N([ID]&lt;NC[[#This Row],[ID]]),N([PAR]=NC[[#This Row],[PAR]]), [LUCRO TMP]), 0)</f>
        <v>780.05</v>
      </c>
      <c r="AH51" s="42">
        <f>IF([U] = "U", SUMPRODUCT(N([ID]&lt;=NC[[#This Row],[ID]]),N([DATA BASE]=NC[[#This Row],[DATA BASE]]), N(['[D/N']] = "N"),    [LUCRO P/ OP]), 0)</f>
        <v>0</v>
      </c>
      <c r="AI51" s="42">
        <f>IF([U] = "U", SUMPRODUCT(N([DATA BASE]=NC[[#This Row],[DATA BASE]]), N(['[D/N']] = "D"),    [LUCRO P/ OP]), 0)</f>
        <v>0</v>
      </c>
      <c r="AJ51" s="15">
        <f>IF([U] = "U", SUMPRODUCT(N([DATA BASE]=NC[[#This Row],[DATA BASE]]), N(['[D/N']] = "D"),    [IRRF FONTE]), 0)</f>
        <v>0</v>
      </c>
      <c r="AK51" s="143">
        <f>NC[[#This Row],[LÍQUIDO]]/NC[[#This Row],[QTDE]]</f>
        <v>1.2784249999999999</v>
      </c>
    </row>
    <row r="52" spans="1:37">
      <c r="A52" s="13">
        <v>51</v>
      </c>
      <c r="B52" s="43"/>
      <c r="C52" s="55" t="s">
        <v>114</v>
      </c>
      <c r="D52" s="13" t="s">
        <v>66</v>
      </c>
      <c r="E52" s="44">
        <v>41075</v>
      </c>
      <c r="F52" s="43">
        <v>1100</v>
      </c>
      <c r="G52" s="42">
        <v>1.41</v>
      </c>
      <c r="H52" s="76"/>
      <c r="I52" s="49"/>
      <c r="J52" s="43" t="s">
        <v>6</v>
      </c>
      <c r="K52" s="66">
        <f>WORKDAY(NC[[#This Row],[DATA]],1,0)</f>
        <v>41078</v>
      </c>
      <c r="L52" s="68">
        <f>EOMONTH(NC[[#This Row],[DATA DE LIQUIDAÇÃO]],0)</f>
        <v>41090</v>
      </c>
      <c r="M52" s="6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52" s="67">
        <f>[QTDE]*[PREÇO]</f>
        <v>1551</v>
      </c>
      <c r="O52" s="6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3615</v>
      </c>
      <c r="P52" s="6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0.99</v>
      </c>
      <c r="Q52" s="6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1.33</v>
      </c>
      <c r="R52" s="6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2.5099999999999998</v>
      </c>
      <c r="S52" s="67">
        <f>SETUP!$E$3 * IF([PARCIAL] &gt; 0, [QTDE] / [PARCIAL], 1)</f>
        <v>14.9</v>
      </c>
      <c r="T52" s="67">
        <f>SUMPRODUCT(N([DATA]=NC[[#This Row],[DATA]]),N([ID]&lt;=NC[[#This Row],[ID]]), [CORR])</f>
        <v>29.8</v>
      </c>
      <c r="U52" s="67">
        <f>TRUNC([CORRETAGEM]*SETUP!$F$3,2)</f>
        <v>0.59</v>
      </c>
      <c r="V52" s="67">
        <f>ROUND([CORRETAGEM]*SETUP!$G$3,2)</f>
        <v>1.1599999999999999</v>
      </c>
      <c r="W52" s="67">
        <f>[VALOR LÍQUIDO DAS OPERAÇÕES]-[TAXA DE LIQUIDAÇÃO]-[EMOLUMENTOS]-[TAXA DE REGISTRO]-[CORRETAGEM]-[ISS]-IF(['[D/N']]="D",    0,    [OUTRAS BOVESPA]) - [AJUSTE]</f>
        <v>3578.62</v>
      </c>
      <c r="X52" s="67">
        <f>IF(AND(['[D/N']]="D",    [T]="CV",    [LÍQUIDO BASE] &gt; 0),    TRUNC([LÍQUIDO BASE]*0.01, 2),    0)</f>
        <v>0</v>
      </c>
      <c r="Y52" s="15">
        <f>IF([PREÇO] &gt; 0,    [LÍQUIDO BASE]-SUMPRODUCT(N([DATA]=NC[[#This Row],[DATA]]),    [IRRF FONTE]),    0)</f>
        <v>3578.62</v>
      </c>
      <c r="Z52" s="69">
        <f>[LÍQUIDO]-SUMPRODUCT(N([DATA]=NC[[#This Row],[DATA]]),N([ID]=(NC[[#This Row],[ID]]-1)),[LÍQUIDO])</f>
        <v>1533.1399999999999</v>
      </c>
      <c r="AA52" s="67">
        <f>IF([T] = "VC", ABS([VALOR OP]) / [QTDE], [VALOR OP]/[QTDE])</f>
        <v>1.3937636363636363</v>
      </c>
      <c r="AB52" s="67">
        <f>TRUNC(IF(OR([T]="CV",[T]="VV"),     N52*SETUP!$H$3,     0),2)</f>
        <v>7.0000000000000007E-2</v>
      </c>
      <c r="AC52" s="6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-1100</v>
      </c>
      <c r="AD52" s="7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</v>
      </c>
      <c r="AE52" s="7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1.3937636363636363</v>
      </c>
      <c r="AF52" s="7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52" s="67">
        <f>IF([LUCRO TMP] &lt;&gt; 0, [LUCRO TMP] - SUMPRODUCT(N([ATIVO]=NC[[#This Row],[ATIVO]]),N(['[D/N']]="N"),N([ID]&lt;NC[[#This Row],[ID]]),N([PAR]=NC[[#This Row],[PAR]]), [LUCRO TMP]), 0)</f>
        <v>0</v>
      </c>
      <c r="AH52" s="67">
        <f>IF([U] = "U", SUMPRODUCT(N([ID]&lt;=NC[[#This Row],[ID]]),N([DATA BASE]=NC[[#This Row],[DATA BASE]]), N(['[D/N']] = "N"),    [LUCRO P/ OP]), 0)</f>
        <v>0</v>
      </c>
      <c r="AI52" s="67">
        <f>IF([U] = "U", SUMPRODUCT(N([DATA BASE]=NC[[#This Row],[DATA BASE]]), N(['[D/N']] = "D"),    [LUCRO P/ OP]), 0)</f>
        <v>0</v>
      </c>
      <c r="AJ52" s="15">
        <f>IF([U] = "U", SUMPRODUCT(N([DATA BASE]=NC[[#This Row],[DATA BASE]]), N(['[D/N']] = "D"),    [IRRF FONTE]), 0)</f>
        <v>0</v>
      </c>
      <c r="AK52" s="143">
        <f>NC[[#This Row],[LÍQUIDO]]/NC[[#This Row],[QTDE]]</f>
        <v>3.253290909090909</v>
      </c>
    </row>
    <row r="53" spans="1:37">
      <c r="A53" s="13">
        <v>52</v>
      </c>
      <c r="B53" s="43"/>
      <c r="C53" s="55" t="s">
        <v>115</v>
      </c>
      <c r="D53" s="13" t="s">
        <v>24</v>
      </c>
      <c r="E53" s="44">
        <v>41075</v>
      </c>
      <c r="F53" s="43">
        <v>1100</v>
      </c>
      <c r="G53" s="42">
        <v>0.88</v>
      </c>
      <c r="H53" s="76"/>
      <c r="I53" s="49"/>
      <c r="J53" s="43" t="s">
        <v>6</v>
      </c>
      <c r="K53" s="66">
        <f>WORKDAY(NC[[#This Row],[DATA]],1,0)</f>
        <v>41078</v>
      </c>
      <c r="L53" s="68">
        <f>EOMONTH(NC[[#This Row],[DATA DE LIQUIDAÇÃO]],0)</f>
        <v>41090</v>
      </c>
      <c r="M53" s="6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53" s="67">
        <f>[QTDE]*[PREÇO]</f>
        <v>968</v>
      </c>
      <c r="O53" s="6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2647</v>
      </c>
      <c r="P53" s="6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1.26</v>
      </c>
      <c r="Q53" s="6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1.69</v>
      </c>
      <c r="R53" s="6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3.18</v>
      </c>
      <c r="S53" s="67">
        <f>SETUP!$E$3 * IF([PARCIAL] &gt; 0, [QTDE] / [PARCIAL], 1)</f>
        <v>14.9</v>
      </c>
      <c r="T53" s="67">
        <f>SUMPRODUCT(N([DATA]=NC[[#This Row],[DATA]]),N([ID]&lt;=NC[[#This Row],[ID]]), [CORR])</f>
        <v>44.7</v>
      </c>
      <c r="U53" s="67">
        <f>TRUNC([CORRETAGEM]*SETUP!$F$3,2)</f>
        <v>0.89</v>
      </c>
      <c r="V53" s="67">
        <f>ROUND([CORRETAGEM]*SETUP!$G$3,2)</f>
        <v>1.74</v>
      </c>
      <c r="W53" s="67">
        <f>[VALOR LÍQUIDO DAS OPERAÇÕES]-[TAXA DE LIQUIDAÇÃO]-[EMOLUMENTOS]-[TAXA DE REGISTRO]-[CORRETAGEM]-[ISS]-IF(['[D/N']]="D",    0,    [OUTRAS BOVESPA]) - [AJUSTE]</f>
        <v>2593.5400000000004</v>
      </c>
      <c r="X53" s="67">
        <f>IF(AND(['[D/N']]="D",    [T]="CV",    [LÍQUIDO BASE] &gt; 0),    TRUNC([LÍQUIDO BASE]*0.01, 2),    0)</f>
        <v>0</v>
      </c>
      <c r="Y53" s="15">
        <f>IF([PREÇO] &gt; 0,    [LÍQUIDO BASE]-SUMPRODUCT(N([DATA]=NC[[#This Row],[DATA]]),    [IRRF FONTE]),    0)</f>
        <v>2593.5400000000004</v>
      </c>
      <c r="Z53" s="69">
        <f>[LÍQUIDO]-SUMPRODUCT(N([DATA]=NC[[#This Row],[DATA]]),N([ID]=(NC[[#This Row],[ID]]-1)),[LÍQUIDO])</f>
        <v>-985.07999999999947</v>
      </c>
      <c r="AA53" s="67">
        <f>IF([T] = "VC", ABS([VALOR OP]) / [QTDE], [VALOR OP]/[QTDE])</f>
        <v>-0.89552727272727228</v>
      </c>
      <c r="AB53" s="67">
        <f>TRUNC(IF(OR([T]="CV",[T]="VV"),     N53*SETUP!$H$3,     0),2)</f>
        <v>0</v>
      </c>
      <c r="AC53" s="6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1100</v>
      </c>
      <c r="AD53" s="7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0.89552727272727228</v>
      </c>
      <c r="AE53" s="7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53" s="7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53" s="67">
        <f>IF([LUCRO TMP] &lt;&gt; 0, [LUCRO TMP] - SUMPRODUCT(N([ATIVO]=NC[[#This Row],[ATIVO]]),N(['[D/N']]="N"),N([ID]&lt;NC[[#This Row],[ID]]),N([PAR]=NC[[#This Row],[PAR]]), [LUCRO TMP]), 0)</f>
        <v>0</v>
      </c>
      <c r="AH53" s="67">
        <f>IF([U] = "U", SUMPRODUCT(N([ID]&lt;=NC[[#This Row],[ID]]),N([DATA BASE]=NC[[#This Row],[DATA BASE]]), N(['[D/N']] = "N"),    [LUCRO P/ OP]), 0)</f>
        <v>0</v>
      </c>
      <c r="AI53" s="67">
        <f>IF([U] = "U", SUMPRODUCT(N([DATA BASE]=NC[[#This Row],[DATA BASE]]), N(['[D/N']] = "D"),    [LUCRO P/ OP]), 0)</f>
        <v>0</v>
      </c>
      <c r="AJ53" s="15">
        <f>IF([U] = "U", SUMPRODUCT(N([DATA BASE]=NC[[#This Row],[DATA BASE]]), N(['[D/N']] = "D"),    [IRRF FONTE]), 0)</f>
        <v>0</v>
      </c>
      <c r="AK53" s="143">
        <f>NC[[#This Row],[LÍQUIDO]]/NC[[#This Row],[QTDE]]</f>
        <v>2.3577636363636367</v>
      </c>
    </row>
    <row r="54" spans="1:37">
      <c r="A54" s="13">
        <v>53</v>
      </c>
      <c r="B54" s="13"/>
      <c r="C54" s="55" t="s">
        <v>114</v>
      </c>
      <c r="D54" s="13" t="s">
        <v>24</v>
      </c>
      <c r="E54" s="44">
        <v>41078</v>
      </c>
      <c r="F54" s="43">
        <v>500</v>
      </c>
      <c r="G54" s="42">
        <v>1.89</v>
      </c>
      <c r="H54" s="76">
        <v>1600</v>
      </c>
      <c r="I54" s="49"/>
      <c r="J54" s="13" t="s">
        <v>14</v>
      </c>
      <c r="K54" s="66">
        <f>WORKDAY(NC[[#This Row],[DATA]],1,0)</f>
        <v>41079</v>
      </c>
      <c r="L54" s="68">
        <f>EOMONTH(NC[[#This Row],[DATA DE LIQUIDAÇÃO]],0)</f>
        <v>41090</v>
      </c>
      <c r="M54" s="6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54" s="67">
        <f>[QTDE]*[PREÇO]</f>
        <v>945</v>
      </c>
      <c r="O54" s="6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-945</v>
      </c>
      <c r="P54" s="6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0.17</v>
      </c>
      <c r="Q54" s="6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0.11</v>
      </c>
      <c r="R54" s="6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0.14000000000000001</v>
      </c>
      <c r="S54" s="67">
        <f>SETUP!$E$3 * IF([PARCIAL] &gt; 0, [QTDE] / [PARCIAL], 1)</f>
        <v>4.65625</v>
      </c>
      <c r="T54" s="67">
        <f>SUMPRODUCT(N([DATA]=NC[[#This Row],[DATA]]),N([ID]&lt;=NC[[#This Row],[ID]]), [CORR])</f>
        <v>4.65625</v>
      </c>
      <c r="U54" s="67">
        <f>TRUNC([CORRETAGEM]*SETUP!$F$3,2)</f>
        <v>0.09</v>
      </c>
      <c r="V54" s="67">
        <f>ROUND([CORRETAGEM]*SETUP!$G$3,2)</f>
        <v>0.18</v>
      </c>
      <c r="W54" s="67">
        <f>[VALOR LÍQUIDO DAS OPERAÇÕES]-[TAXA DE LIQUIDAÇÃO]-[EMOLUMENTOS]-[TAXA DE REGISTRO]-[CORRETAGEM]-[ISS]-IF(['[D/N']]="D",    0,    [OUTRAS BOVESPA]) - [AJUSTE]</f>
        <v>-950.16624999999999</v>
      </c>
      <c r="X54" s="67">
        <f>IF(AND(['[D/N']]="D",    [T]="CV",    [LÍQUIDO BASE] &gt; 0),    TRUNC([LÍQUIDO BASE]*0.01, 2),    0)</f>
        <v>0</v>
      </c>
      <c r="Y54" s="15">
        <f>IF([PREÇO] &gt; 0,    [LÍQUIDO BASE]-SUMPRODUCT(N([DATA]=NC[[#This Row],[DATA]]),    [IRRF FONTE]),    0)</f>
        <v>-950.74625000000003</v>
      </c>
      <c r="Z54" s="69">
        <f>[LÍQUIDO]-SUMPRODUCT(N([DATA]=NC[[#This Row],[DATA]]),N([ID]=(NC[[#This Row],[ID]]-1)),[LÍQUIDO])</f>
        <v>-950.74625000000003</v>
      </c>
      <c r="AA54" s="67">
        <f>IF([T] = "VC", ABS([VALOR OP]) / [QTDE], [VALOR OP]/[QTDE])</f>
        <v>-1.9014925</v>
      </c>
      <c r="AB54" s="67">
        <f>TRUNC(IF(OR([T]="CV",[T]="VV"),     N54*SETUP!$H$3,     0),2)</f>
        <v>0</v>
      </c>
      <c r="AC54" s="6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54" s="7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1.9014925</v>
      </c>
      <c r="AE54" s="7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54" s="7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54" s="67">
        <f>IF([LUCRO TMP] &lt;&gt; 0, [LUCRO TMP] - SUMPRODUCT(N([ATIVO]=NC[[#This Row],[ATIVO]]),N(['[D/N']]="N"),N([ID]&lt;NC[[#This Row],[ID]]),N([PAR]=NC[[#This Row],[PAR]]), [LUCRO TMP]), 0)</f>
        <v>0</v>
      </c>
      <c r="AH54" s="67">
        <f>IF([U] = "U", SUMPRODUCT(N([ID]&lt;=NC[[#This Row],[ID]]),N([DATA BASE]=NC[[#This Row],[DATA BASE]]), N(['[D/N']] = "N"),    [LUCRO P/ OP]), 0)</f>
        <v>0</v>
      </c>
      <c r="AI54" s="67">
        <f>IF([U] = "U", SUMPRODUCT(N([DATA BASE]=NC[[#This Row],[DATA BASE]]), N(['[D/N']] = "D"),    [LUCRO P/ OP]), 0)</f>
        <v>0</v>
      </c>
      <c r="AJ54" s="15">
        <f>IF([U] = "U", SUMPRODUCT(N([DATA BASE]=NC[[#This Row],[DATA BASE]]), N(['[D/N']] = "D"),    [IRRF FONTE]), 0)</f>
        <v>0</v>
      </c>
      <c r="AK54" s="143">
        <f>NC[[#This Row],[LÍQUIDO]]/NC[[#This Row],[QTDE]]</f>
        <v>-1.9014925</v>
      </c>
    </row>
    <row r="55" spans="1:37">
      <c r="A55" s="13">
        <v>54</v>
      </c>
      <c r="B55" s="13"/>
      <c r="C55" s="55" t="s">
        <v>114</v>
      </c>
      <c r="D55" s="13" t="s">
        <v>25</v>
      </c>
      <c r="E55" s="44">
        <v>41078</v>
      </c>
      <c r="F55" s="13">
        <v>500</v>
      </c>
      <c r="G55" s="15">
        <v>2.0499999999999998</v>
      </c>
      <c r="H55" s="78"/>
      <c r="I55" s="19">
        <v>0.56000000000000005</v>
      </c>
      <c r="J55" s="13" t="s">
        <v>14</v>
      </c>
      <c r="K55" s="14">
        <f>WORKDAY(NC[[#This Row],[DATA]],1,0)</f>
        <v>41079</v>
      </c>
      <c r="L55" s="75">
        <f>EOMONTH(NC[[#This Row],[DATA DE LIQUIDAÇÃO]],0)</f>
        <v>41090</v>
      </c>
      <c r="M55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55" s="15">
        <f>[QTDE]*[PREÇO]</f>
        <v>1025</v>
      </c>
      <c r="O55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80</v>
      </c>
      <c r="P55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0.35</v>
      </c>
      <c r="Q55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0.23</v>
      </c>
      <c r="R55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0.28999999999999998</v>
      </c>
      <c r="S55" s="15">
        <f>SETUP!$E$3 * IF([PARCIAL] &gt; 0, [QTDE] / [PARCIAL], 1)</f>
        <v>14.9</v>
      </c>
      <c r="T55" s="15">
        <f>SUMPRODUCT(N([DATA]=NC[[#This Row],[DATA]]),N([ID]&lt;=NC[[#This Row],[ID]]), [CORR])</f>
        <v>19.556249999999999</v>
      </c>
      <c r="U55" s="15">
        <f>TRUNC([CORRETAGEM]*SETUP!$F$3,2)</f>
        <v>0.39</v>
      </c>
      <c r="V55" s="15">
        <f>ROUND([CORRETAGEM]*SETUP!$G$3,2)</f>
        <v>0.76</v>
      </c>
      <c r="W55" s="15">
        <f>[VALOR LÍQUIDO DAS OPERAÇÕES]-[TAXA DE LIQUIDAÇÃO]-[EMOLUMENTOS]-[TAXA DE REGISTRO]-[CORRETAGEM]-[ISS]-IF(['[D/N']]="D",    0,    [OUTRAS BOVESPA]) - [AJUSTE]</f>
        <v>58.623749999999994</v>
      </c>
      <c r="X55" s="15">
        <f>IF(AND(['[D/N']]="D",    [T]="CV",    [LÍQUIDO BASE] &gt; 0),    TRUNC([LÍQUIDO BASE]*0.01, 2),    0)</f>
        <v>0.57999999999999996</v>
      </c>
      <c r="Y55" s="15">
        <f>IF([PREÇO] &gt; 0,    [LÍQUIDO BASE]-SUMPRODUCT(N([DATA]=NC[[#This Row],[DATA]]),    [IRRF FONTE]),    0)</f>
        <v>58.043749999999996</v>
      </c>
      <c r="Z55" s="20">
        <f>[LÍQUIDO]-SUMPRODUCT(N([DATA]=NC[[#This Row],[DATA]]),N([ID]=(NC[[#This Row],[ID]]-1)),[LÍQUIDO])</f>
        <v>1008.7900000000001</v>
      </c>
      <c r="AA55" s="15">
        <f>IF([T] = "VC", ABS([VALOR OP]) / [QTDE], [VALOR OP]/[QTDE])</f>
        <v>2.0175800000000002</v>
      </c>
      <c r="AB55" s="15">
        <f>TRUNC(IF(OR([T]="CV",[T]="VV"),     N55*SETUP!$H$3,     0),2)</f>
        <v>0.05</v>
      </c>
      <c r="AC55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55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1.9014925</v>
      </c>
      <c r="AE55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2.0175800000000002</v>
      </c>
      <c r="AF55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58.623750000000058</v>
      </c>
      <c r="AG55" s="15">
        <f>IF([LUCRO TMP] &lt;&gt; 0, [LUCRO TMP] - SUMPRODUCT(N([ATIVO]=NC[[#This Row],[ATIVO]]),N(['[D/N']]="N"),N([ID]&lt;NC[[#This Row],[ID]]),N([PAR]=NC[[#This Row],[PAR]]), [LUCRO TMP]), 0)</f>
        <v>58.623750000000058</v>
      </c>
      <c r="AH55" s="15">
        <f>IF([U] = "U", SUMPRODUCT(N([ID]&lt;=NC[[#This Row],[ID]]),N([DATA BASE]=NC[[#This Row],[DATA BASE]]), N(['[D/N']] = "N"),    [LUCRO P/ OP]), 0)</f>
        <v>0</v>
      </c>
      <c r="AI55" s="15">
        <f>IF([U] = "U", SUMPRODUCT(N([DATA BASE]=NC[[#This Row],[DATA BASE]]), N(['[D/N']] = "D"),    [LUCRO P/ OP]), 0)</f>
        <v>0</v>
      </c>
      <c r="AJ55" s="15">
        <f>IF([U] = "U", SUMPRODUCT(N([DATA BASE]=NC[[#This Row],[DATA BASE]]), N(['[D/N']] = "D"),    [IRRF FONTE]), 0)</f>
        <v>0</v>
      </c>
      <c r="AK55" s="143">
        <f>NC[[#This Row],[LÍQUIDO]]/NC[[#This Row],[QTDE]]</f>
        <v>0.1160875</v>
      </c>
    </row>
    <row r="56" spans="1:37">
      <c r="A56" s="13">
        <v>55</v>
      </c>
      <c r="B56" s="13"/>
      <c r="C56" s="55" t="s">
        <v>114</v>
      </c>
      <c r="D56" s="13" t="s">
        <v>67</v>
      </c>
      <c r="E56" s="44">
        <v>41078</v>
      </c>
      <c r="F56" s="43">
        <v>1100</v>
      </c>
      <c r="G56" s="42">
        <v>1.89</v>
      </c>
      <c r="H56" s="78">
        <v>1600</v>
      </c>
      <c r="I56" s="19"/>
      <c r="J56" s="43" t="s">
        <v>6</v>
      </c>
      <c r="K56" s="66">
        <f>WORKDAY(NC[[#This Row],[DATA]],1,0)</f>
        <v>41079</v>
      </c>
      <c r="L56" s="68">
        <f>EOMONTH(NC[[#This Row],[DATA DE LIQUIDAÇÃO]],0)</f>
        <v>41090</v>
      </c>
      <c r="M56" s="6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56" s="67">
        <f>[QTDE]*[PREÇO]</f>
        <v>2079</v>
      </c>
      <c r="O56" s="6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-1999</v>
      </c>
      <c r="P56" s="6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0.92</v>
      </c>
      <c r="Q56" s="6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1</v>
      </c>
      <c r="R56" s="6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1.74</v>
      </c>
      <c r="S56" s="67">
        <f>SETUP!$E$3 * IF([PARCIAL] &gt; 0, [QTDE] / [PARCIAL], 1)</f>
        <v>10.24375</v>
      </c>
      <c r="T56" s="67">
        <f>SUMPRODUCT(N([DATA]=NC[[#This Row],[DATA]]),N([ID]&lt;=NC[[#This Row],[ID]]), [CORR])</f>
        <v>29.799999999999997</v>
      </c>
      <c r="U56" s="67">
        <f>TRUNC([CORRETAGEM]*SETUP!$F$3,2)</f>
        <v>0.59</v>
      </c>
      <c r="V56" s="67">
        <f>ROUND([CORRETAGEM]*SETUP!$G$3,2)</f>
        <v>1.1599999999999999</v>
      </c>
      <c r="W56" s="67">
        <f>[VALOR LÍQUIDO DAS OPERAÇÕES]-[TAXA DE LIQUIDAÇÃO]-[EMOLUMENTOS]-[TAXA DE REGISTRO]-[CORRETAGEM]-[ISS]-IF(['[D/N']]="D",    0,    [OUTRAS BOVESPA]) - [AJUSTE]</f>
        <v>-2034.21</v>
      </c>
      <c r="X56" s="67">
        <f>IF(AND(['[D/N']]="D",    [T]="CV",    [LÍQUIDO BASE] &gt; 0),    TRUNC([LÍQUIDO BASE]*0.01, 2),    0)</f>
        <v>0</v>
      </c>
      <c r="Y56" s="15">
        <f>IF([PREÇO] &gt; 0,    [LÍQUIDO BASE]-SUMPRODUCT(N([DATA]=NC[[#This Row],[DATA]]),    [IRRF FONTE]),    0)</f>
        <v>-2034.79</v>
      </c>
      <c r="Z56" s="69">
        <f>[LÍQUIDO]-SUMPRODUCT(N([DATA]=NC[[#This Row],[DATA]]),N([ID]=(NC[[#This Row],[ID]]-1)),[LÍQUIDO])</f>
        <v>-2092.8337499999998</v>
      </c>
      <c r="AA56" s="67">
        <f>IF([T] = "VC", ABS([VALOR OP]) / [QTDE], [VALOR OP]/[QTDE])</f>
        <v>1.9025761363636362</v>
      </c>
      <c r="AB56" s="67">
        <f>TRUNC(IF(OR([T]="CV",[T]="VV"),     N56*SETUP!$H$3,     0),2)</f>
        <v>0</v>
      </c>
      <c r="AC56" s="6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56" s="7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1.9025761363636362</v>
      </c>
      <c r="AE56" s="7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1.3937636363636363</v>
      </c>
      <c r="AF56" s="7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-559.69374999999991</v>
      </c>
      <c r="AG56" s="67">
        <f>IF([LUCRO TMP] &lt;&gt; 0, [LUCRO TMP] - SUMPRODUCT(N([ATIVO]=NC[[#This Row],[ATIVO]]),N(['[D/N']]="N"),N([ID]&lt;NC[[#This Row],[ID]]),N([PAR]=NC[[#This Row],[PAR]]), [LUCRO TMP]), 0)</f>
        <v>-559.69374999999991</v>
      </c>
      <c r="AH56" s="67">
        <f>IF([U] = "U", SUMPRODUCT(N([ID]&lt;=NC[[#This Row],[ID]]),N([DATA BASE]=NC[[#This Row],[DATA BASE]]), N(['[D/N']] = "N"),    [LUCRO P/ OP]), 0)</f>
        <v>0</v>
      </c>
      <c r="AI56" s="67">
        <f>IF([U] = "U", SUMPRODUCT(N([DATA BASE]=NC[[#This Row],[DATA BASE]]), N(['[D/N']] = "D"),    [LUCRO P/ OP]), 0)</f>
        <v>0</v>
      </c>
      <c r="AJ56" s="15">
        <f>IF([U] = "U", SUMPRODUCT(N([DATA BASE]=NC[[#This Row],[DATA BASE]]), N(['[D/N']] = "D"),    [IRRF FONTE]), 0)</f>
        <v>0</v>
      </c>
      <c r="AK56" s="143">
        <f>NC[[#This Row],[LÍQUIDO]]/NC[[#This Row],[QTDE]]</f>
        <v>-1.849809090909091</v>
      </c>
    </row>
    <row r="57" spans="1:37">
      <c r="A57" s="13">
        <v>56</v>
      </c>
      <c r="B57" s="13"/>
      <c r="C57" s="55" t="s">
        <v>115</v>
      </c>
      <c r="D57" s="13" t="s">
        <v>25</v>
      </c>
      <c r="E57" s="44">
        <v>41078</v>
      </c>
      <c r="F57" s="43">
        <v>1100</v>
      </c>
      <c r="G57" s="42">
        <v>1.45</v>
      </c>
      <c r="H57" s="76"/>
      <c r="I57" s="49"/>
      <c r="J57" s="43" t="s">
        <v>6</v>
      </c>
      <c r="K57" s="14">
        <f>WORKDAY(NC[[#This Row],[DATA]],1,0)</f>
        <v>41079</v>
      </c>
      <c r="L57" s="75">
        <f>EOMONTH(NC[[#This Row],[DATA DE LIQUIDAÇÃO]],0)</f>
        <v>41090</v>
      </c>
      <c r="M57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57" s="15">
        <f>[QTDE]*[PREÇO]</f>
        <v>1595</v>
      </c>
      <c r="O57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-404</v>
      </c>
      <c r="P57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1.36</v>
      </c>
      <c r="Q57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1.59</v>
      </c>
      <c r="R57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2.84</v>
      </c>
      <c r="S57" s="15">
        <f>SETUP!$E$3 * IF([PARCIAL] &gt; 0, [QTDE] / [PARCIAL], 1)</f>
        <v>14.9</v>
      </c>
      <c r="T57" s="15">
        <f>SUMPRODUCT(N([DATA]=NC[[#This Row],[DATA]]),N([ID]&lt;=NC[[#This Row],[ID]]), [CORR])</f>
        <v>44.699999999999996</v>
      </c>
      <c r="U57" s="15">
        <f>TRUNC([CORRETAGEM]*SETUP!$F$3,2)</f>
        <v>0.89</v>
      </c>
      <c r="V57" s="15">
        <f>ROUND([CORRETAGEM]*SETUP!$G$3,2)</f>
        <v>1.74</v>
      </c>
      <c r="W57" s="15">
        <f>[VALOR LÍQUIDO DAS OPERAÇÕES]-[TAXA DE LIQUIDAÇÃO]-[EMOLUMENTOS]-[TAXA DE REGISTRO]-[CORRETAGEM]-[ISS]-IF(['[D/N']]="D",    0,    [OUTRAS BOVESPA]) - [AJUSTE]</f>
        <v>-457.11999999999995</v>
      </c>
      <c r="X57" s="15">
        <f>IF(AND(['[D/N']]="D",    [T]="CV",    [LÍQUIDO BASE] &gt; 0),    TRUNC([LÍQUIDO BASE]*0.01, 2),    0)</f>
        <v>0</v>
      </c>
      <c r="Y57" s="15">
        <f>IF([PREÇO] &gt; 0,    [LÍQUIDO BASE]-SUMPRODUCT(N([DATA]=NC[[#This Row],[DATA]]),    [IRRF FONTE]),    0)</f>
        <v>-457.69999999999993</v>
      </c>
      <c r="Z57" s="20">
        <f>[LÍQUIDO]-SUMPRODUCT(N([DATA]=NC[[#This Row],[DATA]]),N([ID]=(NC[[#This Row],[ID]]-1)),[LÍQUIDO])</f>
        <v>1577.0900000000001</v>
      </c>
      <c r="AA57" s="15">
        <f>IF([T] = "VC", ABS([VALOR OP]) / [QTDE], [VALOR OP]/[QTDE])</f>
        <v>1.4337181818181819</v>
      </c>
      <c r="AB57" s="15">
        <f>TRUNC(IF(OR([T]="CV",[T]="VV"),     N57*SETUP!$H$3,     0),2)</f>
        <v>7.0000000000000007E-2</v>
      </c>
      <c r="AC57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57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0.89552727272727228</v>
      </c>
      <c r="AE57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1.4337181818181819</v>
      </c>
      <c r="AF57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592.01000000000056</v>
      </c>
      <c r="AG57" s="15">
        <f>IF([LUCRO TMP] &lt;&gt; 0, [LUCRO TMP] - SUMPRODUCT(N([ATIVO]=NC[[#This Row],[ATIVO]]),N(['[D/N']]="N"),N([ID]&lt;NC[[#This Row],[ID]]),N([PAR]=NC[[#This Row],[PAR]]), [LUCRO TMP]), 0)</f>
        <v>592.01000000000056</v>
      </c>
      <c r="AH57" s="15">
        <f>IF([U] = "U", SUMPRODUCT(N([ID]&lt;=NC[[#This Row],[ID]]),N([DATA BASE]=NC[[#This Row],[DATA BASE]]), N(['[D/N']] = "N"),    [LUCRO P/ OP]), 0)</f>
        <v>0</v>
      </c>
      <c r="AI57" s="15">
        <f>IF([U] = "U", SUMPRODUCT(N([DATA BASE]=NC[[#This Row],[DATA BASE]]), N(['[D/N']] = "D"),    [LUCRO P/ OP]), 0)</f>
        <v>0</v>
      </c>
      <c r="AJ57" s="15">
        <f>IF([U] = "U", SUMPRODUCT(N([DATA BASE]=NC[[#This Row],[DATA BASE]]), N(['[D/N']] = "D"),    [IRRF FONTE]), 0)</f>
        <v>0</v>
      </c>
      <c r="AK57" s="143">
        <f>NC[[#This Row],[LÍQUIDO]]/NC[[#This Row],[QTDE]]</f>
        <v>-0.41609090909090901</v>
      </c>
    </row>
    <row r="58" spans="1:37">
      <c r="A58" s="13">
        <v>57</v>
      </c>
      <c r="B58" s="13"/>
      <c r="C58" s="55" t="s">
        <v>111</v>
      </c>
      <c r="D58" s="13" t="s">
        <v>25</v>
      </c>
      <c r="E58" s="14">
        <v>41079</v>
      </c>
      <c r="F58" s="13">
        <v>1000</v>
      </c>
      <c r="G58" s="15">
        <v>0</v>
      </c>
      <c r="H58" s="78"/>
      <c r="I58" s="19"/>
      <c r="J58" s="13" t="s">
        <v>6</v>
      </c>
      <c r="K58" s="14">
        <f>WORKDAY(NC[[#This Row],[DATA]],1,0)</f>
        <v>41080</v>
      </c>
      <c r="L58" s="56">
        <f>EOMONTH(NC[[#This Row],[DATA DE LIQUIDAÇÃO]],0)</f>
        <v>41090</v>
      </c>
      <c r="M58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58" s="15">
        <f>[QTDE]*[PREÇO]</f>
        <v>0</v>
      </c>
      <c r="O58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58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58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58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58" s="15">
        <f>SETUP!$E$3 * IF([PARCIAL] &gt; 0, [QTDE] / [PARCIAL], 1)</f>
        <v>14.9</v>
      </c>
      <c r="T58" s="15">
        <f>SUMPRODUCT(N([DATA]=NC[[#This Row],[DATA]]),N([ID]&lt;=NC[[#This Row],[ID]]), [CORR])</f>
        <v>14.9</v>
      </c>
      <c r="U58" s="15">
        <f>TRUNC([CORRETAGEM]*SETUP!$F$3,2)</f>
        <v>0.28999999999999998</v>
      </c>
      <c r="V58" s="15">
        <f>ROUND([CORRETAGEM]*SETUP!$G$3,2)</f>
        <v>0.57999999999999996</v>
      </c>
      <c r="W58" s="15">
        <f>[VALOR LÍQUIDO DAS OPERAÇÕES]-[TAXA DE LIQUIDAÇÃO]-[EMOLUMENTOS]-[TAXA DE REGISTRO]-[CORRETAGEM]-[ISS]-IF(['[D/N']]="D",    0,    [OUTRAS BOVESPA]) - [AJUSTE]</f>
        <v>-15.77</v>
      </c>
      <c r="X58" s="15">
        <f>IF(AND(['[D/N']]="D",    [T]="CV",    [LÍQUIDO BASE] &gt; 0),    TRUNC([LÍQUIDO BASE]*0.01, 2),    0)</f>
        <v>0</v>
      </c>
      <c r="Y58" s="15">
        <f>IF([PREÇO] &gt; 0,    [LÍQUIDO BASE]-SUMPRODUCT(N([DATA]=NC[[#This Row],[DATA]]),    [IRRF FONTE]),    0)</f>
        <v>0</v>
      </c>
      <c r="Z58" s="20">
        <f>[LÍQUIDO]-SUMPRODUCT(N([DATA]=NC[[#This Row],[DATA]]),N([ID]=(NC[[#This Row],[ID]]-1)),[LÍQUIDO])</f>
        <v>0</v>
      </c>
      <c r="AA58" s="15">
        <f>IF([T] = "VC", ABS([VALOR OP]) / [QTDE], [VALOR OP]/[QTDE])</f>
        <v>0</v>
      </c>
      <c r="AB58" s="15">
        <f>TRUNC(IF(OR([T]="CV",[T]="VV"),     N58*SETUP!$H$3,     0),2)</f>
        <v>0</v>
      </c>
      <c r="AC58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58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0.46638999999999997</v>
      </c>
      <c r="AE58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58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-466.39</v>
      </c>
      <c r="AG58" s="15">
        <f>IF([LUCRO TMP] &lt;&gt; 0, [LUCRO TMP] - SUMPRODUCT(N([ATIVO]=NC[[#This Row],[ATIVO]]),N(['[D/N']]="N"),N([ID]&lt;NC[[#This Row],[ID]]),N([PAR]=NC[[#This Row],[PAR]]), [LUCRO TMP]), 0)</f>
        <v>-466.39</v>
      </c>
      <c r="AH58" s="15">
        <f>IF([U] = "U", SUMPRODUCT(N([ID]&lt;=NC[[#This Row],[ID]]),N([DATA BASE]=NC[[#This Row],[DATA BASE]]), N(['[D/N']] = "N"),    [LUCRO P/ OP]), 0)</f>
        <v>0</v>
      </c>
      <c r="AI58" s="15">
        <f>IF([U] = "U", SUMPRODUCT(N([DATA BASE]=NC[[#This Row],[DATA BASE]]), N(['[D/N']] = "D"),    [LUCRO P/ OP]), 0)</f>
        <v>0</v>
      </c>
      <c r="AJ58" s="15">
        <f>IF([U] = "U", SUMPRODUCT(N([DATA BASE]=NC[[#This Row],[DATA BASE]]), N(['[D/N']] = "D"),    [IRRF FONTE]), 0)</f>
        <v>0</v>
      </c>
      <c r="AK58" s="143">
        <f>NC[[#This Row],[LÍQUIDO]]/NC[[#This Row],[QTDE]]</f>
        <v>0</v>
      </c>
    </row>
    <row r="59" spans="1:37">
      <c r="A59" s="13">
        <v>58</v>
      </c>
      <c r="B59" s="13"/>
      <c r="C59" s="55" t="s">
        <v>102</v>
      </c>
      <c r="D59" s="13" t="s">
        <v>25</v>
      </c>
      <c r="E59" s="14">
        <v>41079</v>
      </c>
      <c r="F59" s="13">
        <v>200</v>
      </c>
      <c r="G59" s="15">
        <v>0</v>
      </c>
      <c r="H59" s="78"/>
      <c r="I59" s="19"/>
      <c r="J59" s="13" t="s">
        <v>6</v>
      </c>
      <c r="K59" s="14">
        <f>WORKDAY(NC[[#This Row],[DATA]],1,0)</f>
        <v>41080</v>
      </c>
      <c r="L59" s="56">
        <f>EOMONTH(NC[[#This Row],[DATA DE LIQUIDAÇÃO]],0)</f>
        <v>41090</v>
      </c>
      <c r="M59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59" s="15">
        <f>[QTDE]*[PREÇO]</f>
        <v>0</v>
      </c>
      <c r="O59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59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59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59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59" s="15">
        <f>SETUP!$E$3 * IF([PARCIAL] &gt; 0, [QTDE] / [PARCIAL], 1)</f>
        <v>14.9</v>
      </c>
      <c r="T59" s="15">
        <f>SUMPRODUCT(N([DATA]=NC[[#This Row],[DATA]]),N([ID]&lt;=NC[[#This Row],[ID]]), [CORR])</f>
        <v>29.8</v>
      </c>
      <c r="U59" s="15">
        <f>TRUNC([CORRETAGEM]*SETUP!$F$3,2)</f>
        <v>0.59</v>
      </c>
      <c r="V59" s="15">
        <f>ROUND([CORRETAGEM]*SETUP!$G$3,2)</f>
        <v>1.1599999999999999</v>
      </c>
      <c r="W59" s="15">
        <f>[VALOR LÍQUIDO DAS OPERAÇÕES]-[TAXA DE LIQUIDAÇÃO]-[EMOLUMENTOS]-[TAXA DE REGISTRO]-[CORRETAGEM]-[ISS]-IF(['[D/N']]="D",    0,    [OUTRAS BOVESPA]) - [AJUSTE]</f>
        <v>-31.55</v>
      </c>
      <c r="X59" s="15">
        <f>IF(AND(['[D/N']]="D",    [T]="CV",    [LÍQUIDO BASE] &gt; 0),    TRUNC([LÍQUIDO BASE]*0.01, 2),    0)</f>
        <v>0</v>
      </c>
      <c r="Y59" s="15">
        <f>IF([PREÇO] &gt; 0,    [LÍQUIDO BASE]-SUMPRODUCT(N([DATA]=NC[[#This Row],[DATA]]),    [IRRF FONTE]),    0)</f>
        <v>0</v>
      </c>
      <c r="Z59" s="20">
        <f>[LÍQUIDO]-SUMPRODUCT(N([DATA]=NC[[#This Row],[DATA]]),N([ID]=(NC[[#This Row],[ID]]-1)),[LÍQUIDO])</f>
        <v>0</v>
      </c>
      <c r="AA59" s="15">
        <f>IF([T] = "VC", ABS([VALOR OP]) / [QTDE], [VALOR OP]/[QTDE])</f>
        <v>0</v>
      </c>
      <c r="AB59" s="15">
        <f>TRUNC(IF(OR([T]="CV",[T]="VV"),     N59*SETUP!$H$3,     0),2)</f>
        <v>0</v>
      </c>
      <c r="AC59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59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0.76970000000000016</v>
      </c>
      <c r="AE59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59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-153.94000000000003</v>
      </c>
      <c r="AG59" s="15">
        <f>IF([LUCRO TMP] &lt;&gt; 0, [LUCRO TMP] - SUMPRODUCT(N([ATIVO]=NC[[#This Row],[ATIVO]]),N(['[D/N']]="N"),N([ID]&lt;NC[[#This Row],[ID]]),N([PAR]=NC[[#This Row],[PAR]]), [LUCRO TMP]), 0)</f>
        <v>-153.94000000000003</v>
      </c>
      <c r="AH59" s="15">
        <f>IF([U] = "U", SUMPRODUCT(N([ID]&lt;=NC[[#This Row],[ID]]),N([DATA BASE]=NC[[#This Row],[DATA BASE]]), N(['[D/N']] = "N"),    [LUCRO P/ OP]), 0)</f>
        <v>0</v>
      </c>
      <c r="AI59" s="15">
        <f>IF([U] = "U", SUMPRODUCT(N([DATA BASE]=NC[[#This Row],[DATA BASE]]), N(['[D/N']] = "D"),    [LUCRO P/ OP]), 0)</f>
        <v>0</v>
      </c>
      <c r="AJ59" s="15">
        <f>IF([U] = "U", SUMPRODUCT(N([DATA BASE]=NC[[#This Row],[DATA BASE]]), N(['[D/N']] = "D"),    [IRRF FONTE]), 0)</f>
        <v>0</v>
      </c>
      <c r="AK59" s="143">
        <f>NC[[#This Row],[LÍQUIDO]]/NC[[#This Row],[QTDE]]</f>
        <v>0</v>
      </c>
    </row>
    <row r="60" spans="1:37">
      <c r="A60" s="13">
        <v>59</v>
      </c>
      <c r="B60" s="13"/>
      <c r="C60" s="55" t="s">
        <v>114</v>
      </c>
      <c r="D60" s="13" t="s">
        <v>66</v>
      </c>
      <c r="E60" s="14">
        <v>41086</v>
      </c>
      <c r="F60" s="13">
        <v>1600</v>
      </c>
      <c r="G60" s="15">
        <v>1.44</v>
      </c>
      <c r="H60" s="78"/>
      <c r="I60" s="19"/>
      <c r="J60" s="13" t="s">
        <v>6</v>
      </c>
      <c r="K60" s="14">
        <f>WORKDAY(NC[[#This Row],[DATA]],1,0)</f>
        <v>41087</v>
      </c>
      <c r="L60" s="75">
        <f>EOMONTH(NC[[#This Row],[DATA DE LIQUIDAÇÃO]],0)</f>
        <v>41090</v>
      </c>
      <c r="M60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3</v>
      </c>
      <c r="N60" s="15">
        <f>[QTDE]*[PREÇO]</f>
        <v>2304</v>
      </c>
      <c r="O60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2304</v>
      </c>
      <c r="P60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0.63</v>
      </c>
      <c r="Q60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0.85</v>
      </c>
      <c r="R60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1.6</v>
      </c>
      <c r="S60" s="15">
        <f>SETUP!$E$3 * IF([PARCIAL] &gt; 0, [QTDE] / [PARCIAL], 1)</f>
        <v>14.9</v>
      </c>
      <c r="T60" s="15">
        <f>SUMPRODUCT(N([DATA]=NC[[#This Row],[DATA]]),N([ID]&lt;=NC[[#This Row],[ID]]), [CORR])</f>
        <v>14.9</v>
      </c>
      <c r="U60" s="15">
        <f>TRUNC([CORRETAGEM]*SETUP!$F$3,2)</f>
        <v>0.28999999999999998</v>
      </c>
      <c r="V60" s="15">
        <f>ROUND([CORRETAGEM]*SETUP!$G$3,2)</f>
        <v>0.57999999999999996</v>
      </c>
      <c r="W60" s="15">
        <f>[VALOR LÍQUIDO DAS OPERAÇÕES]-[TAXA DE LIQUIDAÇÃO]-[EMOLUMENTOS]-[TAXA DE REGISTRO]-[CORRETAGEM]-[ISS]-IF(['[D/N']]="D",    0,    [OUTRAS BOVESPA]) - [AJUSTE]</f>
        <v>2285.15</v>
      </c>
      <c r="X60" s="15">
        <f>IF(AND(['[D/N']]="D",    [T]="CV",    [LÍQUIDO BASE] &gt; 0),    TRUNC([LÍQUIDO BASE]*0.01, 2),    0)</f>
        <v>0</v>
      </c>
      <c r="Y60" s="15">
        <f>IF([PREÇO] &gt; 0,    [LÍQUIDO BASE]-SUMPRODUCT(N([DATA]=NC[[#This Row],[DATA]]),    [IRRF FONTE]),    0)</f>
        <v>2285.15</v>
      </c>
      <c r="Z60" s="20">
        <f>[LÍQUIDO]-SUMPRODUCT(N([DATA]=NC[[#This Row],[DATA]]),N([ID]=(NC[[#This Row],[ID]]-1)),[LÍQUIDO])</f>
        <v>2285.15</v>
      </c>
      <c r="AA60" s="15">
        <f>IF([T] = "VC", ABS([VALOR OP]) / [QTDE], [VALOR OP]/[QTDE])</f>
        <v>1.4282187500000001</v>
      </c>
      <c r="AB60" s="15">
        <f>TRUNC(IF(OR([T]="CV",[T]="VV"),     N60*SETUP!$H$3,     0),2)</f>
        <v>0.11</v>
      </c>
      <c r="AC60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-1600</v>
      </c>
      <c r="AD60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</v>
      </c>
      <c r="AE60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1.4282187500000001</v>
      </c>
      <c r="AF60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60" s="15">
        <f>IF([LUCRO TMP] &lt;&gt; 0, [LUCRO TMP] - SUMPRODUCT(N([ATIVO]=NC[[#This Row],[ATIVO]]),N(['[D/N']]="N"),N([ID]&lt;NC[[#This Row],[ID]]),N([PAR]=NC[[#This Row],[PAR]]), [LUCRO TMP]), 0)</f>
        <v>0</v>
      </c>
      <c r="AH60" s="15">
        <f>IF([U] = "U", SUMPRODUCT(N([ID]&lt;=NC[[#This Row],[ID]]),N([DATA BASE]=NC[[#This Row],[DATA BASE]]), N(['[D/N']] = "N"),    [LUCRO P/ OP]), 0)</f>
        <v>0</v>
      </c>
      <c r="AI60" s="15">
        <f>IF([U] = "U", SUMPRODUCT(N([DATA BASE]=NC[[#This Row],[DATA BASE]]), N(['[D/N']] = "D"),    [LUCRO P/ OP]), 0)</f>
        <v>0</v>
      </c>
      <c r="AJ60" s="15">
        <f>IF([U] = "U", SUMPRODUCT(N([DATA BASE]=NC[[#This Row],[DATA BASE]]), N(['[D/N']] = "D"),    [IRRF FONTE]), 0)</f>
        <v>0</v>
      </c>
      <c r="AK60" s="143">
        <f>NC[[#This Row],[LÍQUIDO]]/NC[[#This Row],[QTDE]]</f>
        <v>1.4282187500000001</v>
      </c>
    </row>
    <row r="61" spans="1:37">
      <c r="A61" s="13">
        <v>60</v>
      </c>
      <c r="B61" s="13" t="s">
        <v>49</v>
      </c>
      <c r="C61" s="55" t="s">
        <v>115</v>
      </c>
      <c r="D61" s="13" t="s">
        <v>24</v>
      </c>
      <c r="E61" s="14">
        <v>41086</v>
      </c>
      <c r="F61" s="13">
        <v>1600</v>
      </c>
      <c r="G61" s="15">
        <v>0.88</v>
      </c>
      <c r="H61" s="78"/>
      <c r="I61" s="19"/>
      <c r="J61" s="13" t="s">
        <v>6</v>
      </c>
      <c r="K61" s="14">
        <f>WORKDAY(NC[[#This Row],[DATA]],1,0)</f>
        <v>41087</v>
      </c>
      <c r="L61" s="75">
        <f>EOMONTH(NC[[#This Row],[DATA DE LIQUIDAÇÃO]],0)</f>
        <v>41090</v>
      </c>
      <c r="M61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3</v>
      </c>
      <c r="N61" s="15">
        <f>[QTDE]*[PREÇO]</f>
        <v>1408</v>
      </c>
      <c r="O61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896</v>
      </c>
      <c r="P61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1.02</v>
      </c>
      <c r="Q61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1.37</v>
      </c>
      <c r="R61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2.57</v>
      </c>
      <c r="S61" s="15">
        <f>SETUP!$E$3 * IF([PARCIAL] &gt; 0, [QTDE] / [PARCIAL], 1)</f>
        <v>14.9</v>
      </c>
      <c r="T61" s="15">
        <f>SUMPRODUCT(N([DATA]=NC[[#This Row],[DATA]]),N([ID]&lt;=NC[[#This Row],[ID]]), [CORR])</f>
        <v>29.8</v>
      </c>
      <c r="U61" s="15">
        <f>TRUNC([CORRETAGEM]*SETUP!$F$3,2)</f>
        <v>0.59</v>
      </c>
      <c r="V61" s="15">
        <f>ROUND([CORRETAGEM]*SETUP!$G$3,2)</f>
        <v>1.1599999999999999</v>
      </c>
      <c r="W61" s="15">
        <f>[VALOR LÍQUIDO DAS OPERAÇÕES]-[TAXA DE LIQUIDAÇÃO]-[EMOLUMENTOS]-[TAXA DE REGISTRO]-[CORRETAGEM]-[ISS]-IF(['[D/N']]="D",    0,    [OUTRAS BOVESPA]) - [AJUSTE]</f>
        <v>859.49</v>
      </c>
      <c r="X61" s="15">
        <f>IF(AND(['[D/N']]="D",    [T]="CV",    [LÍQUIDO BASE] &gt; 0),    TRUNC([LÍQUIDO BASE]*0.01, 2),    0)</f>
        <v>0</v>
      </c>
      <c r="Y61" s="15">
        <f>IF([PREÇO] &gt; 0,    [LÍQUIDO BASE]-SUMPRODUCT(N([DATA]=NC[[#This Row],[DATA]]),    [IRRF FONTE]),    0)</f>
        <v>859.49</v>
      </c>
      <c r="Z61" s="20">
        <f>[LÍQUIDO]-SUMPRODUCT(N([DATA]=NC[[#This Row],[DATA]]),N([ID]=(NC[[#This Row],[ID]]-1)),[LÍQUIDO])</f>
        <v>-1425.66</v>
      </c>
      <c r="AA61" s="15">
        <f>IF([T] = "VC", ABS([VALOR OP]) / [QTDE], [VALOR OP]/[QTDE])</f>
        <v>-0.89103750000000004</v>
      </c>
      <c r="AB61" s="15">
        <f>TRUNC(IF(OR([T]="CV",[T]="VV"),     N61*SETUP!$H$3,     0),2)</f>
        <v>0</v>
      </c>
      <c r="AC61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1600</v>
      </c>
      <c r="AD61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0.89103750000000004</v>
      </c>
      <c r="AE61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61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61" s="15">
        <f>IF([LUCRO TMP] &lt;&gt; 0, [LUCRO TMP] - SUMPRODUCT(N([ATIVO]=NC[[#This Row],[ATIVO]]),N(['[D/N']]="N"),N([ID]&lt;NC[[#This Row],[ID]]),N([PAR]=NC[[#This Row],[PAR]]), [LUCRO TMP]), 0)</f>
        <v>0</v>
      </c>
      <c r="AH61" s="15">
        <f>IF([U] = "U", SUMPRODUCT(N([ID]&lt;=NC[[#This Row],[ID]]),N([DATA BASE]=NC[[#This Row],[DATA BASE]]), N(['[D/N']] = "N"),    [LUCRO P/ OP]), 0)</f>
        <v>1329.3362500000007</v>
      </c>
      <c r="AI61" s="15">
        <f>IF([U] = "U", SUMPRODUCT(N([DATA BASE]=NC[[#This Row],[DATA BASE]]), N(['[D/N']] = "D"),    [LUCRO P/ OP]), 0)</f>
        <v>58.623750000000058</v>
      </c>
      <c r="AJ61" s="15">
        <f>IF([U] = "U", SUMPRODUCT(N([DATA BASE]=NC[[#This Row],[DATA BASE]]), N(['[D/N']] = "D"),    [IRRF FONTE]), 0)</f>
        <v>0.57999999999999996</v>
      </c>
      <c r="AK61" s="143">
        <f>NC[[#This Row],[LÍQUIDO]]/NC[[#This Row],[QTDE]]</f>
        <v>0.53718125000000005</v>
      </c>
    </row>
    <row r="62" spans="1:37">
      <c r="A62" s="13">
        <v>61</v>
      </c>
      <c r="B62" s="13"/>
      <c r="C62" s="55" t="s">
        <v>114</v>
      </c>
      <c r="D62" s="13" t="s">
        <v>67</v>
      </c>
      <c r="E62" s="14">
        <v>41094</v>
      </c>
      <c r="F62" s="13">
        <v>1600</v>
      </c>
      <c r="G62" s="15">
        <v>2.2599999999999998</v>
      </c>
      <c r="H62" s="78"/>
      <c r="I62" s="19"/>
      <c r="J62" s="13" t="s">
        <v>6</v>
      </c>
      <c r="K62" s="14">
        <f>WORKDAY(NC[[#This Row],[DATA]],1,0)</f>
        <v>41095</v>
      </c>
      <c r="L62" s="75">
        <f>EOMONTH(NC[[#This Row],[DATA DE LIQUIDAÇÃO]],0)</f>
        <v>41121</v>
      </c>
      <c r="M62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3</v>
      </c>
      <c r="N62" s="15">
        <f>[QTDE]*[PREÇO]</f>
        <v>3615.9999999999995</v>
      </c>
      <c r="O62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-3615.9999999999995</v>
      </c>
      <c r="P62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0.99</v>
      </c>
      <c r="Q62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1.33</v>
      </c>
      <c r="R62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2.5099999999999998</v>
      </c>
      <c r="S62" s="15">
        <f>SETUP!$E$3 * IF([PARCIAL] &gt; 0, [QTDE] / [PARCIAL], 1)</f>
        <v>14.9</v>
      </c>
      <c r="T62" s="15">
        <f>SUMPRODUCT(N([DATA]=NC[[#This Row],[DATA]]),N([ID]&lt;=NC[[#This Row],[ID]]), [CORR])</f>
        <v>14.9</v>
      </c>
      <c r="U62" s="15">
        <f>TRUNC([CORRETAGEM]*SETUP!$F$3,2)</f>
        <v>0.28999999999999998</v>
      </c>
      <c r="V62" s="15">
        <f>ROUND([CORRETAGEM]*SETUP!$G$3,2)</f>
        <v>0.57999999999999996</v>
      </c>
      <c r="W62" s="15">
        <f>[VALOR LÍQUIDO DAS OPERAÇÕES]-[TAXA DE LIQUIDAÇÃO]-[EMOLUMENTOS]-[TAXA DE REGISTRO]-[CORRETAGEM]-[ISS]-IF(['[D/N']]="D",    0,    [OUTRAS BOVESPA]) - [AJUSTE]</f>
        <v>-3636.5999999999995</v>
      </c>
      <c r="X62" s="15">
        <f>IF(AND(['[D/N']]="D",    [T]="CV",    [LÍQUIDO BASE] &gt; 0),    TRUNC([LÍQUIDO BASE]*0.01, 2),    0)</f>
        <v>0</v>
      </c>
      <c r="Y62" s="15">
        <f>IF([PREÇO] &gt; 0,    [LÍQUIDO BASE]-SUMPRODUCT(N([DATA]=NC[[#This Row],[DATA]]),    [IRRF FONTE]),    0)</f>
        <v>-3636.5999999999995</v>
      </c>
      <c r="Z62" s="20">
        <f>[LÍQUIDO]-SUMPRODUCT(N([DATA]=NC[[#This Row],[DATA]]),N([ID]=(NC[[#This Row],[ID]]-1)),[LÍQUIDO])</f>
        <v>-3636.5999999999995</v>
      </c>
      <c r="AA62" s="15">
        <f>IF([T] = "VC", ABS([VALOR OP]) / [QTDE], [VALOR OP]/[QTDE])</f>
        <v>2.2728749999999995</v>
      </c>
      <c r="AB62" s="15">
        <f>TRUNC(IF(OR([T]="CV",[T]="VV"),     N62*SETUP!$H$3,     0),2)</f>
        <v>0</v>
      </c>
      <c r="AC62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62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2.2728749999999995</v>
      </c>
      <c r="AE62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1.4282187500000001</v>
      </c>
      <c r="AF62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-1351.4499999999991</v>
      </c>
      <c r="AG62" s="15">
        <f>IF([LUCRO TMP] &lt;&gt; 0, [LUCRO TMP] - SUMPRODUCT(N([ATIVO]=NC[[#This Row],[ATIVO]]),N(['[D/N']]="N"),N([ID]&lt;NC[[#This Row],[ID]]),N([PAR]=NC[[#This Row],[PAR]]), [LUCRO TMP]), 0)</f>
        <v>-1351.4499999999991</v>
      </c>
      <c r="AH62" s="15">
        <f>IF([U] = "U", SUMPRODUCT(N([ID]&lt;=NC[[#This Row],[ID]]),N([DATA BASE]=NC[[#This Row],[DATA BASE]]), N(['[D/N']] = "N"),    [LUCRO P/ OP]), 0)</f>
        <v>0</v>
      </c>
      <c r="AI62" s="15">
        <f>IF([U] = "U", SUMPRODUCT(N([DATA BASE]=NC[[#This Row],[DATA BASE]]), N(['[D/N']] = "D"),    [LUCRO P/ OP]), 0)</f>
        <v>0</v>
      </c>
      <c r="AJ62" s="15">
        <f>IF([U] = "U", SUMPRODUCT(N([DATA BASE]=NC[[#This Row],[DATA BASE]]), N(['[D/N']] = "D"),    [IRRF FONTE]), 0)</f>
        <v>0</v>
      </c>
      <c r="AK62" s="143">
        <f>NC[[#This Row],[LÍQUIDO]]/NC[[#This Row],[QTDE]]</f>
        <v>-2.2728749999999995</v>
      </c>
    </row>
    <row r="63" spans="1:37">
      <c r="A63" s="13">
        <v>62</v>
      </c>
      <c r="B63" s="13"/>
      <c r="C63" s="55" t="s">
        <v>115</v>
      </c>
      <c r="D63" s="13" t="s">
        <v>25</v>
      </c>
      <c r="E63" s="14">
        <v>41095</v>
      </c>
      <c r="F63" s="13">
        <v>1600</v>
      </c>
      <c r="G63" s="15">
        <v>2</v>
      </c>
      <c r="H63" s="78"/>
      <c r="I63" s="19"/>
      <c r="J63" s="13" t="s">
        <v>6</v>
      </c>
      <c r="K63" s="14">
        <f>WORKDAY(NC[[#This Row],[DATA]],1,0)</f>
        <v>41096</v>
      </c>
      <c r="L63" s="75">
        <f>EOMONTH(NC[[#This Row],[DATA DE LIQUIDAÇÃO]],0)</f>
        <v>41121</v>
      </c>
      <c r="M63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3</v>
      </c>
      <c r="N63" s="15">
        <f>[QTDE]*[PREÇO]</f>
        <v>3200</v>
      </c>
      <c r="O63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3200</v>
      </c>
      <c r="P63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0.88</v>
      </c>
      <c r="Q63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1.18</v>
      </c>
      <c r="R63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2.2200000000000002</v>
      </c>
      <c r="S63" s="15">
        <f>SETUP!$E$3 * IF([PARCIAL] &gt; 0, [QTDE] / [PARCIAL], 1)</f>
        <v>14.9</v>
      </c>
      <c r="T63" s="15">
        <f>SUMPRODUCT(N([DATA]=NC[[#This Row],[DATA]]),N([ID]&lt;=NC[[#This Row],[ID]]), [CORR])</f>
        <v>14.9</v>
      </c>
      <c r="U63" s="15">
        <f>TRUNC([CORRETAGEM]*SETUP!$F$3,2)</f>
        <v>0.28999999999999998</v>
      </c>
      <c r="V63" s="15">
        <f>ROUND([CORRETAGEM]*SETUP!$G$3,2)</f>
        <v>0.57999999999999996</v>
      </c>
      <c r="W63" s="15">
        <f>[VALOR LÍQUIDO DAS OPERAÇÕES]-[TAXA DE LIQUIDAÇÃO]-[EMOLUMENTOS]-[TAXA DE REGISTRO]-[CORRETAGEM]-[ISS]-IF(['[D/N']]="D",    0,    [OUTRAS BOVESPA]) - [AJUSTE]</f>
        <v>3179.9500000000003</v>
      </c>
      <c r="X63" s="15">
        <f>IF(AND(['[D/N']]="D",    [T]="CV",    [LÍQUIDO BASE] &gt; 0),    TRUNC([LÍQUIDO BASE]*0.01, 2),    0)</f>
        <v>0</v>
      </c>
      <c r="Y63" s="15">
        <f>IF([PREÇO] &gt; 0,    [LÍQUIDO BASE]-SUMPRODUCT(N([DATA]=NC[[#This Row],[DATA]]),    [IRRF FONTE]),    0)</f>
        <v>3179.9500000000003</v>
      </c>
      <c r="Z63" s="20">
        <f>[LÍQUIDO]-SUMPRODUCT(N([DATA]=NC[[#This Row],[DATA]]),N([ID]=(NC[[#This Row],[ID]]-1)),[LÍQUIDO])</f>
        <v>3179.9500000000003</v>
      </c>
      <c r="AA63" s="15">
        <f>IF([T] = "VC", ABS([VALOR OP]) / [QTDE], [VALOR OP]/[QTDE])</f>
        <v>1.9874687500000001</v>
      </c>
      <c r="AB63" s="15">
        <f>TRUNC(IF(OR([T]="CV",[T]="VV"),     N63*SETUP!$H$3,     0),2)</f>
        <v>0.16</v>
      </c>
      <c r="AC63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63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0.89103750000000004</v>
      </c>
      <c r="AE63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1.9874687500000001</v>
      </c>
      <c r="AF63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1754.2900000000004</v>
      </c>
      <c r="AG63" s="15">
        <f>IF([LUCRO TMP] &lt;&gt; 0, [LUCRO TMP] - SUMPRODUCT(N([ATIVO]=NC[[#This Row],[ATIVO]]),N(['[D/N']]="N"),N([ID]&lt;NC[[#This Row],[ID]]),N([PAR]=NC[[#This Row],[PAR]]), [LUCRO TMP]), 0)</f>
        <v>1754.2900000000004</v>
      </c>
      <c r="AH63" s="15">
        <f>IF([U] = "U", SUMPRODUCT(N([ID]&lt;=NC[[#This Row],[ID]]),N([DATA BASE]=NC[[#This Row],[DATA BASE]]), N(['[D/N']] = "N"),    [LUCRO P/ OP]), 0)</f>
        <v>0</v>
      </c>
      <c r="AI63" s="15">
        <f>IF([U] = "U", SUMPRODUCT(N([DATA BASE]=NC[[#This Row],[DATA BASE]]), N(['[D/N']] = "D"),    [LUCRO P/ OP]), 0)</f>
        <v>0</v>
      </c>
      <c r="AJ63" s="15">
        <f>IF([U] = "U", SUMPRODUCT(N([DATA BASE]=NC[[#This Row],[DATA BASE]]), N(['[D/N']] = "D"),    [IRRF FONTE]), 0)</f>
        <v>0</v>
      </c>
      <c r="AK63" s="143">
        <f>NC[[#This Row],[LÍQUIDO]]/NC[[#This Row],[QTDE]]</f>
        <v>1.9874687500000001</v>
      </c>
    </row>
    <row r="64" spans="1:37">
      <c r="A64" s="13">
        <v>63</v>
      </c>
      <c r="B64" s="13"/>
      <c r="C64" s="55" t="s">
        <v>130</v>
      </c>
      <c r="D64" s="13" t="s">
        <v>24</v>
      </c>
      <c r="E64" s="14">
        <v>41100</v>
      </c>
      <c r="F64" s="13">
        <v>3500</v>
      </c>
      <c r="G64" s="15">
        <v>0.52</v>
      </c>
      <c r="H64" s="78"/>
      <c r="I64" s="19"/>
      <c r="J64" s="13" t="s">
        <v>6</v>
      </c>
      <c r="K64" s="86">
        <f>WORKDAY(NC[[#This Row],[DATA]],1,0)</f>
        <v>41101</v>
      </c>
      <c r="L64" s="88">
        <f>EOMONTH(NC[[#This Row],[DATA DE LIQUIDAÇÃO]],0)</f>
        <v>41121</v>
      </c>
      <c r="M64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64" s="87">
        <f>[QTDE]*[PREÇO]</f>
        <v>1820</v>
      </c>
      <c r="O64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-1820</v>
      </c>
      <c r="P64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0.5</v>
      </c>
      <c r="Q64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0.67</v>
      </c>
      <c r="R64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1.26</v>
      </c>
      <c r="S64" s="87">
        <f>SETUP!$E$3 * IF([PARCIAL] &gt; 0, [QTDE] / [PARCIAL], 1)</f>
        <v>14.9</v>
      </c>
      <c r="T64" s="87">
        <f>SUMPRODUCT(N([DATA]=NC[[#This Row],[DATA]]),N([ID]&lt;=NC[[#This Row],[ID]]), [CORR])</f>
        <v>14.9</v>
      </c>
      <c r="U64" s="87">
        <f>TRUNC([CORRETAGEM]*SETUP!$F$3,2)</f>
        <v>0.28999999999999998</v>
      </c>
      <c r="V64" s="87">
        <f>ROUND([CORRETAGEM]*SETUP!$G$3,2)</f>
        <v>0.57999999999999996</v>
      </c>
      <c r="W64" s="87">
        <f>[VALOR LÍQUIDO DAS OPERAÇÕES]-[TAXA DE LIQUIDAÇÃO]-[EMOLUMENTOS]-[TAXA DE REGISTRO]-[CORRETAGEM]-[ISS]-IF(['[D/N']]="D",    0,    [OUTRAS BOVESPA]) - [AJUSTE]</f>
        <v>-1838.2</v>
      </c>
      <c r="X64" s="87">
        <f>IF(AND(['[D/N']]="D",    [T]="CV",    [LÍQUIDO BASE] &gt; 0),    TRUNC([LÍQUIDO BASE]*0.01, 2),    0)</f>
        <v>0</v>
      </c>
      <c r="Y64" s="15">
        <f>IF([PREÇO] &gt; 0,    [LÍQUIDO BASE]-SUMPRODUCT(N([DATA]=NC[[#This Row],[DATA]]),    [IRRF FONTE]),    0)</f>
        <v>-1838.2</v>
      </c>
      <c r="Z64" s="89">
        <f>[LÍQUIDO]-SUMPRODUCT(N([DATA]=NC[[#This Row],[DATA]]),N([ID]=(NC[[#This Row],[ID]]-1)),[LÍQUIDO])</f>
        <v>-1838.2</v>
      </c>
      <c r="AA64" s="87">
        <f>IF([T] = "VC", ABS([VALOR OP]) / [QTDE], [VALOR OP]/[QTDE])</f>
        <v>-0.5252</v>
      </c>
      <c r="AB64" s="87">
        <f>TRUNC(IF(OR([T]="CV",[T]="VV"),     N64*SETUP!$H$3,     0),2)</f>
        <v>0</v>
      </c>
      <c r="AC64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3500</v>
      </c>
      <c r="AD64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0.5252</v>
      </c>
      <c r="AE64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64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64" s="87">
        <f>IF([LUCRO TMP] &lt;&gt; 0, [LUCRO TMP] - SUMPRODUCT(N([ATIVO]=NC[[#This Row],[ATIVO]]),N(['[D/N']]="N"),N([ID]&lt;NC[[#This Row],[ID]]),N([PAR]=NC[[#This Row],[PAR]]), [LUCRO TMP]), 0)</f>
        <v>0</v>
      </c>
      <c r="AH64" s="87">
        <f>IF([U] = "U", SUMPRODUCT(N([ID]&lt;=NC[[#This Row],[ID]]),N([DATA BASE]=NC[[#This Row],[DATA BASE]]), N(['[D/N']] = "N"),    [LUCRO P/ OP]), 0)</f>
        <v>0</v>
      </c>
      <c r="AI64" s="87">
        <f>IF([U] = "U", SUMPRODUCT(N([DATA BASE]=NC[[#This Row],[DATA BASE]]), N(['[D/N']] = "D"),    [LUCRO P/ OP]), 0)</f>
        <v>0</v>
      </c>
      <c r="AJ64" s="87">
        <f>IF([U] = "U", SUMPRODUCT(N([DATA BASE]=NC[[#This Row],[DATA BASE]]), N(['[D/N']] = "D"),    [IRRF FONTE]), 0)</f>
        <v>0</v>
      </c>
      <c r="AK64" s="143">
        <f>NC[[#This Row],[LÍQUIDO]]/NC[[#This Row],[QTDE]]</f>
        <v>-0.5252</v>
      </c>
    </row>
    <row r="65" spans="1:37">
      <c r="A65" s="13">
        <v>64</v>
      </c>
      <c r="B65" s="13"/>
      <c r="C65" s="55" t="s">
        <v>133</v>
      </c>
      <c r="D65" s="13" t="s">
        <v>24</v>
      </c>
      <c r="E65" s="14">
        <v>41101</v>
      </c>
      <c r="F65" s="13">
        <v>12300</v>
      </c>
      <c r="G65" s="15">
        <v>0.02</v>
      </c>
      <c r="H65" s="78"/>
      <c r="I65" s="19"/>
      <c r="J65" s="13" t="s">
        <v>14</v>
      </c>
      <c r="K65" s="14">
        <f>WORKDAY(NC[[#This Row],[DATA]],1,0)</f>
        <v>41102</v>
      </c>
      <c r="L65" s="75">
        <f>EOMONTH(NC[[#This Row],[DATA DE LIQUIDAÇÃO]],0)</f>
        <v>41121</v>
      </c>
      <c r="M65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65" s="15">
        <f>[QTDE]*[PREÇO]</f>
        <v>246</v>
      </c>
      <c r="O65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-246</v>
      </c>
      <c r="P65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0.04</v>
      </c>
      <c r="Q65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0.02</v>
      </c>
      <c r="R65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0.03</v>
      </c>
      <c r="S65" s="15">
        <f>SETUP!$E$3 * IF([PARCIAL] &gt; 0, [QTDE] / [PARCIAL], 1)</f>
        <v>14.9</v>
      </c>
      <c r="T65" s="15">
        <f>SUMPRODUCT(N([DATA]=NC[[#This Row],[DATA]]),N([ID]&lt;=NC[[#This Row],[ID]]), [CORR])</f>
        <v>14.9</v>
      </c>
      <c r="U65" s="15">
        <f>TRUNC([CORRETAGEM]*SETUP!$F$3,2)</f>
        <v>0.28999999999999998</v>
      </c>
      <c r="V65" s="15">
        <f>ROUND([CORRETAGEM]*SETUP!$G$3,2)</f>
        <v>0.57999999999999996</v>
      </c>
      <c r="W65" s="15">
        <f>[VALOR LÍQUIDO DAS OPERAÇÕES]-[TAXA DE LIQUIDAÇÃO]-[EMOLUMENTOS]-[TAXA DE REGISTRO]-[CORRETAGEM]-[ISS]-IF(['[D/N']]="D",    0,    [OUTRAS BOVESPA]) - [AJUSTE]</f>
        <v>-261.28000000000003</v>
      </c>
      <c r="X65" s="15">
        <f>IF(AND(['[D/N']]="D",    [T]="CV",    [LÍQUIDO BASE] &gt; 0),    TRUNC([LÍQUIDO BASE]*0.01, 2),    0)</f>
        <v>0</v>
      </c>
      <c r="Y65" s="15">
        <f>IF([PREÇO] &gt; 0,    [LÍQUIDO BASE]-SUMPRODUCT(N([DATA]=NC[[#This Row],[DATA]]),    [IRRF FONTE]),    0)</f>
        <v>-261.28000000000003</v>
      </c>
      <c r="Z65" s="20">
        <f>[LÍQUIDO]-SUMPRODUCT(N([DATA]=NC[[#This Row],[DATA]]),N([ID]=(NC[[#This Row],[ID]]-1)),[LÍQUIDO])</f>
        <v>-261.28000000000003</v>
      </c>
      <c r="AA65" s="15">
        <f>IF([T] = "VC", ABS([VALOR OP]) / [QTDE], [VALOR OP]/[QTDE])</f>
        <v>-2.1242276422764231E-2</v>
      </c>
      <c r="AB65" s="15">
        <f>TRUNC(IF(OR([T]="CV",[T]="VV"),     N65*SETUP!$H$3,     0),2)</f>
        <v>0</v>
      </c>
      <c r="AC65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65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2.1242276422764231E-2</v>
      </c>
      <c r="AE65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65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65" s="15">
        <f>IF([LUCRO TMP] &lt;&gt; 0, [LUCRO TMP] - SUMPRODUCT(N([ATIVO]=NC[[#This Row],[ATIVO]]),N(['[D/N']]="N"),N([ID]&lt;NC[[#This Row],[ID]]),N([PAR]=NC[[#This Row],[PAR]]), [LUCRO TMP]), 0)</f>
        <v>0</v>
      </c>
      <c r="AH65" s="15">
        <f>IF([U] = "U", SUMPRODUCT(N([ID]&lt;=NC[[#This Row],[ID]]),N([DATA BASE]=NC[[#This Row],[DATA BASE]]), N(['[D/N']] = "N"),    [LUCRO P/ OP]), 0)</f>
        <v>0</v>
      </c>
      <c r="AI65" s="15">
        <f>IF([U] = "U", SUMPRODUCT(N([DATA BASE]=NC[[#This Row],[DATA BASE]]), N(['[D/N']] = "D"),    [LUCRO P/ OP]), 0)</f>
        <v>0</v>
      </c>
      <c r="AJ65" s="15">
        <f>IF([U] = "U", SUMPRODUCT(N([DATA BASE]=NC[[#This Row],[DATA BASE]]), N(['[D/N']] = "D"),    [IRRF FONTE]), 0)</f>
        <v>0</v>
      </c>
      <c r="AK65" s="143">
        <f>NC[[#This Row],[LÍQUIDO]]/NC[[#This Row],[QTDE]]</f>
        <v>-2.1242276422764231E-2</v>
      </c>
    </row>
    <row r="66" spans="1:37">
      <c r="A66" s="13">
        <v>65</v>
      </c>
      <c r="B66" s="13"/>
      <c r="C66" s="55" t="s">
        <v>133</v>
      </c>
      <c r="D66" s="13" t="s">
        <v>25</v>
      </c>
      <c r="E66" s="14">
        <v>41101</v>
      </c>
      <c r="F66" s="13">
        <v>12300</v>
      </c>
      <c r="G66" s="15">
        <v>0.02</v>
      </c>
      <c r="H66" s="78"/>
      <c r="I66" s="19"/>
      <c r="J66" s="13" t="s">
        <v>14</v>
      </c>
      <c r="K66" s="14">
        <f>WORKDAY(NC[[#This Row],[DATA]],1,0)</f>
        <v>41102</v>
      </c>
      <c r="L66" s="75">
        <f>EOMONTH(NC[[#This Row],[DATA DE LIQUIDAÇÃO]],0)</f>
        <v>41121</v>
      </c>
      <c r="M66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66" s="15">
        <f>[QTDE]*[PREÇO]</f>
        <v>246</v>
      </c>
      <c r="O66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66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0.08</v>
      </c>
      <c r="Q66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0.05</v>
      </c>
      <c r="R66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7.0000000000000007E-2</v>
      </c>
      <c r="S66" s="15">
        <f>SETUP!$E$3 * IF([PARCIAL] &gt; 0, [QTDE] / [PARCIAL], 1)</f>
        <v>14.9</v>
      </c>
      <c r="T66" s="15">
        <f>SUMPRODUCT(N([DATA]=NC[[#This Row],[DATA]]),N([ID]&lt;=NC[[#This Row],[ID]]), [CORR])</f>
        <v>29.8</v>
      </c>
      <c r="U66" s="15">
        <f>TRUNC([CORRETAGEM]*SETUP!$F$3,2)</f>
        <v>0.59</v>
      </c>
      <c r="V66" s="15">
        <f>ROUND([CORRETAGEM]*SETUP!$G$3,2)</f>
        <v>1.1599999999999999</v>
      </c>
      <c r="W66" s="15">
        <f>[VALOR LÍQUIDO DAS OPERAÇÕES]-[TAXA DE LIQUIDAÇÃO]-[EMOLUMENTOS]-[TAXA DE REGISTRO]-[CORRETAGEM]-[ISS]-IF(['[D/N']]="D",    0,    [OUTRAS BOVESPA]) - [AJUSTE]</f>
        <v>-30.59</v>
      </c>
      <c r="X66" s="15">
        <f>IF(AND(['[D/N']]="D",    [T]="CV",    [LÍQUIDO BASE] &gt; 0),    TRUNC([LÍQUIDO BASE]*0.01, 2),    0)</f>
        <v>0</v>
      </c>
      <c r="Y66" s="15">
        <f>IF([PREÇO] &gt; 0,    [LÍQUIDO BASE]-SUMPRODUCT(N([DATA]=NC[[#This Row],[DATA]]),    [IRRF FONTE]),    0)</f>
        <v>-30.59</v>
      </c>
      <c r="Z66" s="20">
        <f>[LÍQUIDO]-SUMPRODUCT(N([DATA]=NC[[#This Row],[DATA]]),N([ID]=(NC[[#This Row],[ID]]-1)),[LÍQUIDO])</f>
        <v>230.69000000000003</v>
      </c>
      <c r="AA66" s="15">
        <f>IF([T] = "VC", ABS([VALOR OP]) / [QTDE], [VALOR OP]/[QTDE])</f>
        <v>1.875528455284553E-2</v>
      </c>
      <c r="AB66" s="15">
        <f>TRUNC(IF(OR([T]="CV",[T]="VV"),     N66*SETUP!$H$3,     0),2)</f>
        <v>0.01</v>
      </c>
      <c r="AC66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66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2.1242276422764231E-2</v>
      </c>
      <c r="AE66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1.875528455284553E-2</v>
      </c>
      <c r="AF66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-30.590000000000014</v>
      </c>
      <c r="AG66" s="15">
        <f>IF([LUCRO TMP] &lt;&gt; 0, [LUCRO TMP] - SUMPRODUCT(N([ATIVO]=NC[[#This Row],[ATIVO]]),N(['[D/N']]="N"),N([ID]&lt;NC[[#This Row],[ID]]),N([PAR]=NC[[#This Row],[PAR]]), [LUCRO TMP]), 0)</f>
        <v>-30.590000000000014</v>
      </c>
      <c r="AH66" s="15">
        <f>IF([U] = "U", SUMPRODUCT(N([ID]&lt;=NC[[#This Row],[ID]]),N([DATA BASE]=NC[[#This Row],[DATA BASE]]), N(['[D/N']] = "N"),    [LUCRO P/ OP]), 0)</f>
        <v>0</v>
      </c>
      <c r="AI66" s="15">
        <f>IF([U] = "U", SUMPRODUCT(N([DATA BASE]=NC[[#This Row],[DATA BASE]]), N(['[D/N']] = "D"),    [LUCRO P/ OP]), 0)</f>
        <v>0</v>
      </c>
      <c r="AJ66" s="15">
        <f>IF([U] = "U", SUMPRODUCT(N([DATA BASE]=NC[[#This Row],[DATA BASE]]), N(['[D/N']] = "D"),    [IRRF FONTE]), 0)</f>
        <v>0</v>
      </c>
      <c r="AK66" s="143">
        <f>NC[[#This Row],[LÍQUIDO]]/NC[[#This Row],[QTDE]]</f>
        <v>-2.4869918699186992E-3</v>
      </c>
    </row>
    <row r="67" spans="1:37">
      <c r="A67" s="13">
        <v>66</v>
      </c>
      <c r="B67" s="13"/>
      <c r="C67" s="92" t="s">
        <v>131</v>
      </c>
      <c r="D67" s="93" t="s">
        <v>66</v>
      </c>
      <c r="E67" s="94">
        <v>41101</v>
      </c>
      <c r="F67" s="93">
        <v>3500</v>
      </c>
      <c r="G67" s="95">
        <v>0.27</v>
      </c>
      <c r="H67" s="78"/>
      <c r="I67" s="19">
        <v>-0.01</v>
      </c>
      <c r="J67" s="13" t="s">
        <v>6</v>
      </c>
      <c r="K67" s="14">
        <f>WORKDAY(NC[[#This Row],[DATA]],1,0)</f>
        <v>41102</v>
      </c>
      <c r="L67" s="75">
        <f>EOMONTH(NC[[#This Row],[DATA DE LIQUIDAÇÃO]],0)</f>
        <v>41121</v>
      </c>
      <c r="M67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67" s="15">
        <f>[QTDE]*[PREÇO]</f>
        <v>945.00000000000011</v>
      </c>
      <c r="O67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945</v>
      </c>
      <c r="P67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0.34</v>
      </c>
      <c r="Q67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0.4</v>
      </c>
      <c r="R67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0.73</v>
      </c>
      <c r="S67" s="15">
        <f>SETUP!$E$3 * IF([PARCIAL] &gt; 0, [QTDE] / [PARCIAL], 1)</f>
        <v>14.9</v>
      </c>
      <c r="T67" s="15">
        <f>SUMPRODUCT(N([DATA]=NC[[#This Row],[DATA]]),N([ID]&lt;=NC[[#This Row],[ID]]), [CORR])</f>
        <v>44.7</v>
      </c>
      <c r="U67" s="15">
        <f>TRUNC([CORRETAGEM]*SETUP!$F$3,2)</f>
        <v>0.89</v>
      </c>
      <c r="V67" s="15">
        <f>ROUND([CORRETAGEM]*SETUP!$G$3,2)</f>
        <v>1.74</v>
      </c>
      <c r="W67" s="15">
        <f>[VALOR LÍQUIDO DAS OPERAÇÕES]-[TAXA DE LIQUIDAÇÃO]-[EMOLUMENTOS]-[TAXA DE REGISTRO]-[CORRETAGEM]-[ISS]-IF(['[D/N']]="D",    0,    [OUTRAS BOVESPA]) - [AJUSTE]</f>
        <v>896.20999999999992</v>
      </c>
      <c r="X67" s="15">
        <f>IF(AND(['[D/N']]="D",    [T]="CV",    [LÍQUIDO BASE] &gt; 0),    TRUNC([LÍQUIDO BASE]*0.01, 2),    0)</f>
        <v>0</v>
      </c>
      <c r="Y67" s="15">
        <f>IF([PREÇO] &gt; 0,    [LÍQUIDO BASE]-SUMPRODUCT(N([DATA]=NC[[#This Row],[DATA]]),    [IRRF FONTE]),    0)</f>
        <v>896.20999999999992</v>
      </c>
      <c r="Z67" s="20">
        <f>[LÍQUIDO]-SUMPRODUCT(N([DATA]=NC[[#This Row],[DATA]]),N([ID]=(NC[[#This Row],[ID]]-1)),[LÍQUIDO])</f>
        <v>926.8</v>
      </c>
      <c r="AA67" s="15">
        <f>IF([T] = "VC", ABS([VALOR OP]) / [QTDE], [VALOR OP]/[QTDE])</f>
        <v>0.26479999999999998</v>
      </c>
      <c r="AB67" s="15">
        <f>TRUNC(IF(OR([T]="CV",[T]="VV"),     N67*SETUP!$H$3,     0),2)</f>
        <v>0.04</v>
      </c>
      <c r="AC67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-3500</v>
      </c>
      <c r="AD67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</v>
      </c>
      <c r="AE67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0.26479999999999998</v>
      </c>
      <c r="AF67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67" s="15">
        <f>IF([LUCRO TMP] &lt;&gt; 0, [LUCRO TMP] - SUMPRODUCT(N([ATIVO]=NC[[#This Row],[ATIVO]]),N(['[D/N']]="N"),N([ID]&lt;NC[[#This Row],[ID]]),N([PAR]=NC[[#This Row],[PAR]]), [LUCRO TMP]), 0)</f>
        <v>0</v>
      </c>
      <c r="AH67" s="15">
        <f>IF([U] = "U", SUMPRODUCT(N([ID]&lt;=NC[[#This Row],[ID]]),N([DATA BASE]=NC[[#This Row],[DATA BASE]]), N(['[D/N']] = "N"),    [LUCRO P/ OP]), 0)</f>
        <v>0</v>
      </c>
      <c r="AI67" s="15">
        <f>IF([U] = "U", SUMPRODUCT(N([DATA BASE]=NC[[#This Row],[DATA BASE]]), N(['[D/N']] = "D"),    [LUCRO P/ OP]), 0)</f>
        <v>0</v>
      </c>
      <c r="AJ67" s="15">
        <f>IF([U] = "U", SUMPRODUCT(N([DATA BASE]=NC[[#This Row],[DATA BASE]]), N(['[D/N']] = "D"),    [IRRF FONTE]), 0)</f>
        <v>0</v>
      </c>
      <c r="AK67" s="143">
        <f>NC[[#This Row],[LÍQUIDO]]/NC[[#This Row],[QTDE]]</f>
        <v>0.25605999999999995</v>
      </c>
    </row>
    <row r="68" spans="1:37">
      <c r="A68" s="13">
        <v>67</v>
      </c>
      <c r="B68" s="13"/>
      <c r="C68" s="98" t="s">
        <v>130</v>
      </c>
      <c r="D68" s="99" t="s">
        <v>25</v>
      </c>
      <c r="E68" s="100">
        <v>41102</v>
      </c>
      <c r="F68" s="99">
        <v>3500</v>
      </c>
      <c r="G68" s="101">
        <v>0.05</v>
      </c>
      <c r="H68" s="78"/>
      <c r="I68" s="19"/>
      <c r="J68" s="13" t="s">
        <v>6</v>
      </c>
      <c r="K68" s="86">
        <f>WORKDAY(NC[[#This Row],[DATA]],1,0)</f>
        <v>41103</v>
      </c>
      <c r="L68" s="88">
        <f>EOMONTH(NC[[#This Row],[DATA DE LIQUIDAÇÃO]],0)</f>
        <v>41121</v>
      </c>
      <c r="M68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68" s="87">
        <f>[QTDE]*[PREÇO]</f>
        <v>175</v>
      </c>
      <c r="O68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175</v>
      </c>
      <c r="P68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0.04</v>
      </c>
      <c r="Q68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0.06</v>
      </c>
      <c r="R68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0.12</v>
      </c>
      <c r="S68" s="87">
        <f>SETUP!$E$3 * IF([PARCIAL] &gt; 0, [QTDE] / [PARCIAL], 1)</f>
        <v>14.9</v>
      </c>
      <c r="T68" s="87">
        <f>SUMPRODUCT(N([DATA]=NC[[#This Row],[DATA]]),N([ID]&lt;=NC[[#This Row],[ID]]), [CORR])</f>
        <v>14.9</v>
      </c>
      <c r="U68" s="87">
        <f>TRUNC([CORRETAGEM]*SETUP!$F$3,2)</f>
        <v>0.28999999999999998</v>
      </c>
      <c r="V68" s="87">
        <f>ROUND([CORRETAGEM]*SETUP!$G$3,2)</f>
        <v>0.57999999999999996</v>
      </c>
      <c r="W68" s="87">
        <f>[VALOR LÍQUIDO DAS OPERAÇÕES]-[TAXA DE LIQUIDAÇÃO]-[EMOLUMENTOS]-[TAXA DE REGISTRO]-[CORRETAGEM]-[ISS]-IF(['[D/N']]="D",    0,    [OUTRAS BOVESPA]) - [AJUSTE]</f>
        <v>159.01</v>
      </c>
      <c r="X68" s="87">
        <f>IF(AND(['[D/N']]="D",    [T]="CV",    [LÍQUIDO BASE] &gt; 0),    TRUNC([LÍQUIDO BASE]*0.01, 2),    0)</f>
        <v>0</v>
      </c>
      <c r="Y68" s="15">
        <f>IF([PREÇO] &gt; 0,    [LÍQUIDO BASE]-SUMPRODUCT(N([DATA]=NC[[#This Row],[DATA]]),    [IRRF FONTE]),    0)</f>
        <v>159.01</v>
      </c>
      <c r="Z68" s="89">
        <f>[LÍQUIDO]-SUMPRODUCT(N([DATA]=NC[[#This Row],[DATA]]),N([ID]=(NC[[#This Row],[ID]]-1)),[LÍQUIDO])</f>
        <v>159.01</v>
      </c>
      <c r="AA68" s="87">
        <f>IF([T] = "VC", ABS([VALOR OP]) / [QTDE], [VALOR OP]/[QTDE])</f>
        <v>4.5431428571428567E-2</v>
      </c>
      <c r="AB68" s="87">
        <f>TRUNC(IF(OR([T]="CV",[T]="VV"),     N68*SETUP!$H$3,     0),2)</f>
        <v>0</v>
      </c>
      <c r="AC68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68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0.5252</v>
      </c>
      <c r="AE68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4.5431428571428567E-2</v>
      </c>
      <c r="AF68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-1679.19</v>
      </c>
      <c r="AG68" s="87">
        <f>IF([LUCRO TMP] &lt;&gt; 0, [LUCRO TMP] - SUMPRODUCT(N([ATIVO]=NC[[#This Row],[ATIVO]]),N(['[D/N']]="N"),N([ID]&lt;NC[[#This Row],[ID]]),N([PAR]=NC[[#This Row],[PAR]]), [LUCRO TMP]), 0)</f>
        <v>-1679.19</v>
      </c>
      <c r="AH68" s="87">
        <f>IF([U] = "U", SUMPRODUCT(N([ID]&lt;=NC[[#This Row],[ID]]),N([DATA BASE]=NC[[#This Row],[DATA BASE]]), N(['[D/N']] = "N"),    [LUCRO P/ OP]), 0)</f>
        <v>0</v>
      </c>
      <c r="AI68" s="87">
        <f>IF([U] = "U", SUMPRODUCT(N([DATA BASE]=NC[[#This Row],[DATA BASE]]), N(['[D/N']] = "D"),    [LUCRO P/ OP]), 0)</f>
        <v>0</v>
      </c>
      <c r="AJ68" s="87">
        <f>IF([U] = "U", SUMPRODUCT(N([DATA BASE]=NC[[#This Row],[DATA BASE]]), N(['[D/N']] = "D"),    [IRRF FONTE]), 0)</f>
        <v>0</v>
      </c>
      <c r="AK68" s="143">
        <f>NC[[#This Row],[LÍQUIDO]]/NC[[#This Row],[QTDE]]</f>
        <v>4.5431428571428567E-2</v>
      </c>
    </row>
    <row r="69" spans="1:37">
      <c r="A69" s="13">
        <v>68</v>
      </c>
      <c r="B69" s="13"/>
      <c r="C69" s="55" t="s">
        <v>131</v>
      </c>
      <c r="D69" s="13" t="s">
        <v>67</v>
      </c>
      <c r="E69" s="14">
        <v>41102</v>
      </c>
      <c r="F69" s="13">
        <v>3500</v>
      </c>
      <c r="G69" s="15">
        <v>0.28999999999999998</v>
      </c>
      <c r="H69" s="78"/>
      <c r="I69" s="19"/>
      <c r="J69" s="13" t="s">
        <v>6</v>
      </c>
      <c r="K69" s="14">
        <f>WORKDAY(NC[[#This Row],[DATA]],1,0)</f>
        <v>41103</v>
      </c>
      <c r="L69" s="75">
        <f>EOMONTH(NC[[#This Row],[DATA DE LIQUIDAÇÃO]],0)</f>
        <v>41121</v>
      </c>
      <c r="M69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69" s="15">
        <f>[QTDE]*[PREÇO]</f>
        <v>1014.9999999999999</v>
      </c>
      <c r="O69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-839.99999999999989</v>
      </c>
      <c r="P69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0.32</v>
      </c>
      <c r="Q69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0.44</v>
      </c>
      <c r="R69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0.82</v>
      </c>
      <c r="S69" s="15">
        <f>SETUP!$E$3 * IF([PARCIAL] &gt; 0, [QTDE] / [PARCIAL], 1)</f>
        <v>14.9</v>
      </c>
      <c r="T69" s="15">
        <f>SUMPRODUCT(N([DATA]=NC[[#This Row],[DATA]]),N([ID]&lt;=NC[[#This Row],[ID]]), [CORR])</f>
        <v>29.8</v>
      </c>
      <c r="U69" s="15">
        <f>TRUNC([CORRETAGEM]*SETUP!$F$3,2)</f>
        <v>0.59</v>
      </c>
      <c r="V69" s="15">
        <f>ROUND([CORRETAGEM]*SETUP!$G$3,2)</f>
        <v>1.1599999999999999</v>
      </c>
      <c r="W69" s="15">
        <f>[VALOR LÍQUIDO DAS OPERAÇÕES]-[TAXA DE LIQUIDAÇÃO]-[EMOLUMENTOS]-[TAXA DE REGISTRO]-[CORRETAGEM]-[ISS]-IF(['[D/N']]="D",    0,    [OUTRAS BOVESPA]) - [AJUSTE]</f>
        <v>-873.13</v>
      </c>
      <c r="X69" s="15">
        <f>IF(AND(['[D/N']]="D",    [T]="CV",    [LÍQUIDO BASE] &gt; 0),    TRUNC([LÍQUIDO BASE]*0.01, 2),    0)</f>
        <v>0</v>
      </c>
      <c r="Y69" s="15">
        <f>IF([PREÇO] &gt; 0,    [LÍQUIDO BASE]-SUMPRODUCT(N([DATA]=NC[[#This Row],[DATA]]),    [IRRF FONTE]),    0)</f>
        <v>-873.13</v>
      </c>
      <c r="Z69" s="20">
        <f>[LÍQUIDO]-SUMPRODUCT(N([DATA]=NC[[#This Row],[DATA]]),N([ID]=(NC[[#This Row],[ID]]-1)),[LÍQUIDO])</f>
        <v>-1032.1399999999999</v>
      </c>
      <c r="AA69" s="15">
        <f>IF([T] = "VC", ABS([VALOR OP]) / [QTDE], [VALOR OP]/[QTDE])</f>
        <v>0.2948971428571428</v>
      </c>
      <c r="AB69" s="15">
        <f>TRUNC(IF(OR([T]="CV",[T]="VV"),     N69*SETUP!$H$3,     0),2)</f>
        <v>0</v>
      </c>
      <c r="AC69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69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0.2948971428571428</v>
      </c>
      <c r="AE69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0.26479999999999998</v>
      </c>
      <c r="AF69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-105.33999999999988</v>
      </c>
      <c r="AG69" s="15">
        <f>IF([LUCRO TMP] &lt;&gt; 0, [LUCRO TMP] - SUMPRODUCT(N([ATIVO]=NC[[#This Row],[ATIVO]]),N(['[D/N']]="N"),N([ID]&lt;NC[[#This Row],[ID]]),N([PAR]=NC[[#This Row],[PAR]]), [LUCRO TMP]), 0)</f>
        <v>-105.33999999999988</v>
      </c>
      <c r="AH69" s="15">
        <f>IF([U] = "U", SUMPRODUCT(N([ID]&lt;=NC[[#This Row],[ID]]),N([DATA BASE]=NC[[#This Row],[DATA BASE]]), N(['[D/N']] = "N"),    [LUCRO P/ OP]), 0)</f>
        <v>0</v>
      </c>
      <c r="AI69" s="15">
        <f>IF([U] = "U", SUMPRODUCT(N([DATA BASE]=NC[[#This Row],[DATA BASE]]), N(['[D/N']] = "D"),    [LUCRO P/ OP]), 0)</f>
        <v>0</v>
      </c>
      <c r="AJ69" s="15">
        <f>IF([U] = "U", SUMPRODUCT(N([DATA BASE]=NC[[#This Row],[DATA BASE]]), N(['[D/N']] = "D"),    [IRRF FONTE]), 0)</f>
        <v>0</v>
      </c>
      <c r="AK69" s="143">
        <f>NC[[#This Row],[LÍQUIDO]]/NC[[#This Row],[QTDE]]</f>
        <v>-0.24946571428571429</v>
      </c>
    </row>
    <row r="70" spans="1:37">
      <c r="A70" s="13">
        <v>69</v>
      </c>
      <c r="B70" s="85"/>
      <c r="C70" s="55" t="s">
        <v>131</v>
      </c>
      <c r="D70" s="13" t="s">
        <v>24</v>
      </c>
      <c r="E70" s="14">
        <v>41102</v>
      </c>
      <c r="F70" s="13">
        <v>2000</v>
      </c>
      <c r="G70" s="15">
        <v>0.24</v>
      </c>
      <c r="H70" s="78"/>
      <c r="I70" s="19"/>
      <c r="J70" s="13" t="s">
        <v>6</v>
      </c>
      <c r="K70" s="86">
        <f>WORKDAY(NC[[#This Row],[DATA]],1,0)</f>
        <v>41103</v>
      </c>
      <c r="L70" s="88">
        <f>EOMONTH(NC[[#This Row],[DATA DE LIQUIDAÇÃO]],0)</f>
        <v>41121</v>
      </c>
      <c r="M70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70" s="87">
        <f>[QTDE]*[PREÇO]</f>
        <v>480</v>
      </c>
      <c r="O70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-1320</v>
      </c>
      <c r="P70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0.45</v>
      </c>
      <c r="Q70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0.61</v>
      </c>
      <c r="R70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1.1599999999999999</v>
      </c>
      <c r="S70" s="87">
        <f>SETUP!$E$3 * IF([PARCIAL] &gt; 0, [QTDE] / [PARCIAL], 1)</f>
        <v>14.9</v>
      </c>
      <c r="T70" s="87">
        <f>SUMPRODUCT(N([DATA]=NC[[#This Row],[DATA]]),N([ID]&lt;=NC[[#This Row],[ID]]), [CORR])</f>
        <v>44.7</v>
      </c>
      <c r="U70" s="87">
        <f>TRUNC([CORRETAGEM]*SETUP!$F$3,2)</f>
        <v>0.89</v>
      </c>
      <c r="V70" s="87">
        <f>ROUND([CORRETAGEM]*SETUP!$G$3,2)</f>
        <v>1.74</v>
      </c>
      <c r="W70" s="87">
        <f>[VALOR LÍQUIDO DAS OPERAÇÕES]-[TAXA DE LIQUIDAÇÃO]-[EMOLUMENTOS]-[TAXA DE REGISTRO]-[CORRETAGEM]-[ISS]-IF(['[D/N']]="D",    0,    [OUTRAS BOVESPA]) - [AJUSTE]</f>
        <v>-1369.5500000000002</v>
      </c>
      <c r="X70" s="87">
        <f>IF(AND(['[D/N']]="D",    [T]="CV",    [LÍQUIDO BASE] &gt; 0),    TRUNC([LÍQUIDO BASE]*0.01, 2),    0)</f>
        <v>0</v>
      </c>
      <c r="Y70" s="15">
        <f>IF([PREÇO] &gt; 0,    [LÍQUIDO BASE]-SUMPRODUCT(N([DATA]=NC[[#This Row],[DATA]]),    [IRRF FONTE]),    0)</f>
        <v>-1369.5500000000002</v>
      </c>
      <c r="Z70" s="89">
        <f>[LÍQUIDO]-SUMPRODUCT(N([DATA]=NC[[#This Row],[DATA]]),N([ID]=(NC[[#This Row],[ID]]-1)),[LÍQUIDO])</f>
        <v>-496.42000000000019</v>
      </c>
      <c r="AA70" s="87">
        <f>IF([T] = "VC", ABS([VALOR OP]) / [QTDE], [VALOR OP]/[QTDE])</f>
        <v>-0.2482100000000001</v>
      </c>
      <c r="AB70" s="87">
        <f>TRUNC(IF(OR([T]="CV",[T]="VV"),     N70*SETUP!$H$3,     0),2)</f>
        <v>0</v>
      </c>
      <c r="AC70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2000</v>
      </c>
      <c r="AD70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0.2482100000000001</v>
      </c>
      <c r="AE70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70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70" s="87">
        <f>IF([LUCRO TMP] &lt;&gt; 0, [LUCRO TMP] - SUMPRODUCT(N([ATIVO]=NC[[#This Row],[ATIVO]]),N(['[D/N']]="N"),N([ID]&lt;NC[[#This Row],[ID]]),N([PAR]=NC[[#This Row],[PAR]]), [LUCRO TMP]), 0)</f>
        <v>0</v>
      </c>
      <c r="AH70" s="87">
        <f>IF([U] = "U", SUMPRODUCT(N([ID]&lt;=NC[[#This Row],[ID]]),N([DATA BASE]=NC[[#This Row],[DATA BASE]]), N(['[D/N']] = "N"),    [LUCRO P/ OP]), 0)</f>
        <v>0</v>
      </c>
      <c r="AI70" s="87">
        <f>IF([U] = "U", SUMPRODUCT(N([DATA BASE]=NC[[#This Row],[DATA BASE]]), N(['[D/N']] = "D"),    [LUCRO P/ OP]), 0)</f>
        <v>0</v>
      </c>
      <c r="AJ70" s="87">
        <f>IF([U] = "U", SUMPRODUCT(N([DATA BASE]=NC[[#This Row],[DATA BASE]]), N(['[D/N']] = "D"),    [IRRF FONTE]), 0)</f>
        <v>0</v>
      </c>
      <c r="AK70" s="143">
        <f>NC[[#This Row],[LÍQUIDO]]/NC[[#This Row],[QTDE]]</f>
        <v>-0.68477500000000013</v>
      </c>
    </row>
    <row r="71" spans="1:37">
      <c r="A71" s="13">
        <v>70</v>
      </c>
      <c r="B71" s="13"/>
      <c r="C71" s="55" t="s">
        <v>131</v>
      </c>
      <c r="D71" s="85" t="s">
        <v>25</v>
      </c>
      <c r="E71" s="86">
        <v>41103</v>
      </c>
      <c r="F71" s="85">
        <v>2000</v>
      </c>
      <c r="G71" s="87">
        <v>0.5</v>
      </c>
      <c r="H71" s="96"/>
      <c r="I71" s="97"/>
      <c r="J71" s="85" t="s">
        <v>6</v>
      </c>
      <c r="K71" s="86">
        <f>WORKDAY(NC[[#This Row],[DATA]],1,0)</f>
        <v>41106</v>
      </c>
      <c r="L71" s="88">
        <f>EOMONTH(NC[[#This Row],[DATA DE LIQUIDAÇÃO]],0)</f>
        <v>41121</v>
      </c>
      <c r="M71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71" s="87">
        <f>[QTDE]*[PREÇO]</f>
        <v>1000</v>
      </c>
      <c r="O71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1000</v>
      </c>
      <c r="P71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0.27</v>
      </c>
      <c r="Q71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0.37</v>
      </c>
      <c r="R71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0.69</v>
      </c>
      <c r="S71" s="87">
        <f>SETUP!$E$3 * IF([PARCIAL] &gt; 0, [QTDE] / [PARCIAL], 1)</f>
        <v>14.9</v>
      </c>
      <c r="T71" s="87">
        <f>SUMPRODUCT(N([DATA]=NC[[#This Row],[DATA]]),N([ID]&lt;=NC[[#This Row],[ID]]), [CORR])</f>
        <v>14.9</v>
      </c>
      <c r="U71" s="87">
        <f>TRUNC([CORRETAGEM]*SETUP!$F$3,2)</f>
        <v>0.28999999999999998</v>
      </c>
      <c r="V71" s="87">
        <f>ROUND([CORRETAGEM]*SETUP!$G$3,2)</f>
        <v>0.57999999999999996</v>
      </c>
      <c r="W71" s="87">
        <f>[VALOR LÍQUIDO DAS OPERAÇÕES]-[TAXA DE LIQUIDAÇÃO]-[EMOLUMENTOS]-[TAXA DE REGISTRO]-[CORRETAGEM]-[ISS]-IF(['[D/N']]="D",    0,    [OUTRAS BOVESPA]) - [AJUSTE]</f>
        <v>982.9</v>
      </c>
      <c r="X71" s="87">
        <f>IF(AND(['[D/N']]="D",    [T]="CV",    [LÍQUIDO BASE] &gt; 0),    TRUNC([LÍQUIDO BASE]*0.01, 2),    0)</f>
        <v>0</v>
      </c>
      <c r="Y71" s="15">
        <f>IF([PREÇO] &gt; 0,    [LÍQUIDO BASE]-SUMPRODUCT(N([DATA]=NC[[#This Row],[DATA]]),    [IRRF FONTE]),    0)</f>
        <v>982.9</v>
      </c>
      <c r="Z71" s="89">
        <f>[LÍQUIDO]-SUMPRODUCT(N([DATA]=NC[[#This Row],[DATA]]),N([ID]=(NC[[#This Row],[ID]]-1)),[LÍQUIDO])</f>
        <v>982.9</v>
      </c>
      <c r="AA71" s="87">
        <f>IF([T] = "VC", ABS([VALOR OP]) / [QTDE], [VALOR OP]/[QTDE])</f>
        <v>0.49145</v>
      </c>
      <c r="AB71" s="87">
        <f>TRUNC(IF(OR([T]="CV",[T]="VV"),     N71*SETUP!$H$3,     0),2)</f>
        <v>0.05</v>
      </c>
      <c r="AC71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71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0.2482100000000001</v>
      </c>
      <c r="AE71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0.49145</v>
      </c>
      <c r="AF71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486.47999999999979</v>
      </c>
      <c r="AG71" s="87">
        <f>IF([LUCRO TMP] &lt;&gt; 0, [LUCRO TMP] - SUMPRODUCT(N([ATIVO]=NC[[#This Row],[ATIVO]]),N(['[D/N']]="N"),N([ID]&lt;NC[[#This Row],[ID]]),N([PAR]=NC[[#This Row],[PAR]]), [LUCRO TMP]), 0)</f>
        <v>486.47999999999979</v>
      </c>
      <c r="AH71" s="87">
        <f>IF([U] = "U", SUMPRODUCT(N([ID]&lt;=NC[[#This Row],[ID]]),N([DATA BASE]=NC[[#This Row],[DATA BASE]]), N(['[D/N']] = "N"),    [LUCRO P/ OP]), 0)</f>
        <v>0</v>
      </c>
      <c r="AI71" s="87">
        <f>IF([U] = "U", SUMPRODUCT(N([DATA BASE]=NC[[#This Row],[DATA BASE]]), N(['[D/N']] = "D"),    [LUCRO P/ OP]), 0)</f>
        <v>0</v>
      </c>
      <c r="AJ71" s="87">
        <f>IF([U] = "U", SUMPRODUCT(N([DATA BASE]=NC[[#This Row],[DATA BASE]]), N(['[D/N']] = "D"),    [IRRF FONTE]), 0)</f>
        <v>0</v>
      </c>
      <c r="AK71" s="143">
        <f>NC[[#This Row],[LÍQUIDO]]/NC[[#This Row],[QTDE]]</f>
        <v>0.49145</v>
      </c>
    </row>
    <row r="72" spans="1:37">
      <c r="A72" s="13">
        <v>71</v>
      </c>
      <c r="B72" s="85"/>
      <c r="C72" s="85" t="s">
        <v>134</v>
      </c>
      <c r="D72" s="85" t="s">
        <v>24</v>
      </c>
      <c r="E72" s="86">
        <v>41116</v>
      </c>
      <c r="F72" s="85">
        <v>500</v>
      </c>
      <c r="G72" s="87">
        <v>0.41</v>
      </c>
      <c r="H72" s="96"/>
      <c r="I72" s="97"/>
      <c r="J72" s="85" t="s">
        <v>14</v>
      </c>
      <c r="K72" s="86">
        <f>WORKDAY(NC[[#This Row],[DATA]],1,0)</f>
        <v>41117</v>
      </c>
      <c r="L72" s="88">
        <f>EOMONTH(NC[[#This Row],[DATA DE LIQUIDAÇÃO]],0)</f>
        <v>41121</v>
      </c>
      <c r="M72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72" s="87">
        <f>[QTDE]*[PREÇO]</f>
        <v>205</v>
      </c>
      <c r="O72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-205</v>
      </c>
      <c r="P72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0.03</v>
      </c>
      <c r="Q72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0.02</v>
      </c>
      <c r="R72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0.03</v>
      </c>
      <c r="S72" s="87">
        <f>SETUP!$E$3 * IF([PARCIAL] &gt; 0, [QTDE] / [PARCIAL], 1)</f>
        <v>14.9</v>
      </c>
      <c r="T72" s="87">
        <f>SUMPRODUCT(N([DATA]=NC[[#This Row],[DATA]]),N([ID]&lt;=NC[[#This Row],[ID]]), [CORR])</f>
        <v>14.9</v>
      </c>
      <c r="U72" s="87">
        <f>TRUNC([CORRETAGEM]*SETUP!$F$3,2)</f>
        <v>0.28999999999999998</v>
      </c>
      <c r="V72" s="87">
        <f>ROUND([CORRETAGEM]*SETUP!$G$3,2)</f>
        <v>0.57999999999999996</v>
      </c>
      <c r="W72" s="87">
        <f>[VALOR LÍQUIDO DAS OPERAÇÕES]-[TAXA DE LIQUIDAÇÃO]-[EMOLUMENTOS]-[TAXA DE REGISTRO]-[CORRETAGEM]-[ISS]-IF(['[D/N']]="D",    0,    [OUTRAS BOVESPA]) - [AJUSTE]</f>
        <v>-220.27</v>
      </c>
      <c r="X72" s="87">
        <f>IF(AND(['[D/N']]="D",    [T]="CV",    [LÍQUIDO BASE] &gt; 0),    TRUNC([LÍQUIDO BASE]*0.01, 2),    0)</f>
        <v>0</v>
      </c>
      <c r="Y72" s="15">
        <f>IF([PREÇO] &gt; 0,    [LÍQUIDO BASE]-SUMPRODUCT(N([DATA]=NC[[#This Row],[DATA]]),    [IRRF FONTE]),    0)</f>
        <v>-220.27</v>
      </c>
      <c r="Z72" s="89">
        <f>[LÍQUIDO]-SUMPRODUCT(N([DATA]=NC[[#This Row],[DATA]]),N([ID]=(NC[[#This Row],[ID]]-1)),[LÍQUIDO])</f>
        <v>-220.27</v>
      </c>
      <c r="AA72" s="87">
        <f>IF([T] = "VC", ABS([VALOR OP]) / [QTDE], [VALOR OP]/[QTDE])</f>
        <v>-0.44054000000000004</v>
      </c>
      <c r="AB72" s="87">
        <f>TRUNC(IF(OR([T]="CV",[T]="VV"),     N72*SETUP!$H$3,     0),2)</f>
        <v>0</v>
      </c>
      <c r="AC72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72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0.44054000000000004</v>
      </c>
      <c r="AE72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72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72" s="87">
        <f>IF([LUCRO TMP] &lt;&gt; 0, [LUCRO TMP] - SUMPRODUCT(N([ATIVO]=NC[[#This Row],[ATIVO]]),N(['[D/N']]="N"),N([ID]&lt;NC[[#This Row],[ID]]),N([PAR]=NC[[#This Row],[PAR]]), [LUCRO TMP]), 0)</f>
        <v>0</v>
      </c>
      <c r="AH72" s="87">
        <f>IF([U] = "U", SUMPRODUCT(N([ID]&lt;=NC[[#This Row],[ID]]),N([DATA BASE]=NC[[#This Row],[DATA BASE]]), N(['[D/N']] = "N"),    [LUCRO P/ OP]), 0)</f>
        <v>0</v>
      </c>
      <c r="AI72" s="87">
        <f>IF([U] = "U", SUMPRODUCT(N([DATA BASE]=NC[[#This Row],[DATA BASE]]), N(['[D/N']] = "D"),    [LUCRO P/ OP]), 0)</f>
        <v>0</v>
      </c>
      <c r="AJ72" s="87">
        <f>IF([U] = "U", SUMPRODUCT(N([DATA BASE]=NC[[#This Row],[DATA BASE]]), N(['[D/N']] = "D"),    [IRRF FONTE]), 0)</f>
        <v>0</v>
      </c>
      <c r="AK72" s="143">
        <f>NC[[#This Row],[LÍQUIDO]]/NC[[#This Row],[QTDE]]</f>
        <v>-0.44054000000000004</v>
      </c>
    </row>
    <row r="73" spans="1:37">
      <c r="A73" s="13">
        <v>72</v>
      </c>
      <c r="B73" s="85"/>
      <c r="C73" s="85" t="s">
        <v>134</v>
      </c>
      <c r="D73" s="85" t="s">
        <v>25</v>
      </c>
      <c r="E73" s="86">
        <v>41116</v>
      </c>
      <c r="F73" s="85">
        <v>500</v>
      </c>
      <c r="G73" s="87">
        <v>0.28999999999999998</v>
      </c>
      <c r="H73" s="96"/>
      <c r="I73" s="97"/>
      <c r="J73" s="85" t="s">
        <v>14</v>
      </c>
      <c r="K73" s="86">
        <f>WORKDAY(NC[[#This Row],[DATA]],1,0)</f>
        <v>41117</v>
      </c>
      <c r="L73" s="88">
        <f>EOMONTH(NC[[#This Row],[DATA DE LIQUIDAÇÃO]],0)</f>
        <v>41121</v>
      </c>
      <c r="M73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73" s="87">
        <f>[QTDE]*[PREÇO]</f>
        <v>145</v>
      </c>
      <c r="O73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-60</v>
      </c>
      <c r="P73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0.06</v>
      </c>
      <c r="Q73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0.04</v>
      </c>
      <c r="R73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0.05</v>
      </c>
      <c r="S73" s="87">
        <f>SETUP!$E$3 * IF([PARCIAL] &gt; 0, [QTDE] / [PARCIAL], 1)</f>
        <v>14.9</v>
      </c>
      <c r="T73" s="87">
        <f>SUMPRODUCT(N([DATA]=NC[[#This Row],[DATA]]),N([ID]&lt;=NC[[#This Row],[ID]]), [CORR])</f>
        <v>29.8</v>
      </c>
      <c r="U73" s="87">
        <f>TRUNC([CORRETAGEM]*SETUP!$F$3,2)</f>
        <v>0.59</v>
      </c>
      <c r="V73" s="87">
        <f>ROUND([CORRETAGEM]*SETUP!$G$3,2)</f>
        <v>1.1599999999999999</v>
      </c>
      <c r="W73" s="87">
        <f>[VALOR LÍQUIDO DAS OPERAÇÕES]-[TAXA DE LIQUIDAÇÃO]-[EMOLUMENTOS]-[TAXA DE REGISTRO]-[CORRETAGEM]-[ISS]-IF(['[D/N']]="D",    0,    [OUTRAS BOVESPA]) - [AJUSTE]</f>
        <v>-90.54</v>
      </c>
      <c r="X73" s="87">
        <f>IF(AND(['[D/N']]="D",    [T]="CV",    [LÍQUIDO BASE] &gt; 0),    TRUNC([LÍQUIDO BASE]*0.01, 2),    0)</f>
        <v>0</v>
      </c>
      <c r="Y73" s="15">
        <f>IF([PREÇO] &gt; 0,    [LÍQUIDO BASE]-SUMPRODUCT(N([DATA]=NC[[#This Row],[DATA]]),    [IRRF FONTE]),    0)</f>
        <v>-90.54</v>
      </c>
      <c r="Z73" s="89">
        <f>[LÍQUIDO]-SUMPRODUCT(N([DATA]=NC[[#This Row],[DATA]]),N([ID]=(NC[[#This Row],[ID]]-1)),[LÍQUIDO])</f>
        <v>129.73000000000002</v>
      </c>
      <c r="AA73" s="87">
        <f>IF([T] = "VC", ABS([VALOR OP]) / [QTDE], [VALOR OP]/[QTDE])</f>
        <v>0.25946000000000002</v>
      </c>
      <c r="AB73" s="87">
        <f>TRUNC(IF(OR([T]="CV",[T]="VV"),     N73*SETUP!$H$3,     0),2)</f>
        <v>0</v>
      </c>
      <c r="AC73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73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0.44054000000000004</v>
      </c>
      <c r="AE73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0.25946000000000002</v>
      </c>
      <c r="AF73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-90.54</v>
      </c>
      <c r="AG73" s="87">
        <f>IF([LUCRO TMP] &lt;&gt; 0, [LUCRO TMP] - SUMPRODUCT(N([ATIVO]=NC[[#This Row],[ATIVO]]),N(['[D/N']]="N"),N([ID]&lt;NC[[#This Row],[ID]]),N([PAR]=NC[[#This Row],[PAR]]), [LUCRO TMP]), 0)</f>
        <v>-90.54</v>
      </c>
      <c r="AH73" s="87">
        <f>IF([U] = "U", SUMPRODUCT(N([ID]&lt;=NC[[#This Row],[ID]]),N([DATA BASE]=NC[[#This Row],[DATA BASE]]), N(['[D/N']] = "N"),    [LUCRO P/ OP]), 0)</f>
        <v>0</v>
      </c>
      <c r="AI73" s="87">
        <f>IF([U] = "U", SUMPRODUCT(N([DATA BASE]=NC[[#This Row],[DATA BASE]]), N(['[D/N']] = "D"),    [LUCRO P/ OP]), 0)</f>
        <v>0</v>
      </c>
      <c r="AJ73" s="87">
        <f>IF([U] = "U", SUMPRODUCT(N([DATA BASE]=NC[[#This Row],[DATA BASE]]), N(['[D/N']] = "D"),    [IRRF FONTE]), 0)</f>
        <v>0</v>
      </c>
      <c r="AK73" s="143">
        <f>NC[[#This Row],[LÍQUIDO]]/NC[[#This Row],[QTDE]]</f>
        <v>-0.18108000000000002</v>
      </c>
    </row>
    <row r="74" spans="1:37">
      <c r="A74" s="13">
        <v>73</v>
      </c>
      <c r="B74" s="85"/>
      <c r="C74" s="85" t="s">
        <v>135</v>
      </c>
      <c r="D74" s="85" t="s">
        <v>24</v>
      </c>
      <c r="E74" s="86">
        <v>41116</v>
      </c>
      <c r="F74" s="85">
        <v>300</v>
      </c>
      <c r="G74" s="87">
        <v>1.49</v>
      </c>
      <c r="H74" s="96"/>
      <c r="I74" s="97"/>
      <c r="J74" s="85" t="s">
        <v>6</v>
      </c>
      <c r="K74" s="86">
        <f>WORKDAY(NC[[#This Row],[DATA]],1,0)</f>
        <v>41117</v>
      </c>
      <c r="L74" s="88">
        <f>EOMONTH(NC[[#This Row],[DATA DE LIQUIDAÇÃO]],0)</f>
        <v>41121</v>
      </c>
      <c r="M74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74" s="87">
        <f>[QTDE]*[PREÇO]</f>
        <v>447</v>
      </c>
      <c r="O74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-507</v>
      </c>
      <c r="P74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0.18</v>
      </c>
      <c r="Q74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</v>
      </c>
      <c r="R74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0.36</v>
      </c>
      <c r="S74" s="87">
        <f>SETUP!$E$3 * IF([PARCIAL] &gt; 0, [QTDE] / [PARCIAL], 1)</f>
        <v>14.9</v>
      </c>
      <c r="T74" s="87">
        <f>SUMPRODUCT(N([DATA]=NC[[#This Row],[DATA]]),N([ID]&lt;=NC[[#This Row],[ID]]), [CORR])</f>
        <v>44.7</v>
      </c>
      <c r="U74" s="87">
        <f>TRUNC([CORRETAGEM]*SETUP!$F$3,2)</f>
        <v>0.89</v>
      </c>
      <c r="V74" s="87">
        <f>ROUND([CORRETAGEM]*SETUP!$G$3,2)</f>
        <v>1.74</v>
      </c>
      <c r="W74" s="87">
        <f>[VALOR LÍQUIDO DAS OPERAÇÕES]-[TAXA DE LIQUIDAÇÃO]-[EMOLUMENTOS]-[TAXA DE REGISTRO]-[CORRETAGEM]-[ISS]-IF(['[D/N']]="D",    0,    [OUTRAS BOVESPA]) - [AJUSTE]</f>
        <v>-555.07000000000005</v>
      </c>
      <c r="X74" s="87">
        <f>IF(AND(['[D/N']]="D",    [T]="CV",    [LÍQUIDO BASE] &gt; 0),    TRUNC([LÍQUIDO BASE]*0.01, 2),    0)</f>
        <v>0</v>
      </c>
      <c r="Y74" s="15">
        <f>IF([PREÇO] &gt; 0,    [LÍQUIDO BASE]-SUMPRODUCT(N([DATA]=NC[[#This Row],[DATA]]),    [IRRF FONTE]),    0)</f>
        <v>-555.07000000000005</v>
      </c>
      <c r="Z74" s="89">
        <f>[LÍQUIDO]-SUMPRODUCT(N([DATA]=NC[[#This Row],[DATA]]),N([ID]=(NC[[#This Row],[ID]]-1)),[LÍQUIDO])</f>
        <v>-464.53000000000003</v>
      </c>
      <c r="AA74" s="87">
        <f>IF([T] = "VC", ABS([VALOR OP]) / [QTDE], [VALOR OP]/[QTDE])</f>
        <v>-1.5484333333333333</v>
      </c>
      <c r="AB74" s="87">
        <f>TRUNC(IF(OR([T]="CV",[T]="VV"),     N74*SETUP!$H$3,     0),2)</f>
        <v>0</v>
      </c>
      <c r="AC74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300</v>
      </c>
      <c r="AD74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1.5484333333333333</v>
      </c>
      <c r="AE74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74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74" s="87">
        <f>IF([LUCRO TMP] &lt;&gt; 0, [LUCRO TMP] - SUMPRODUCT(N([ATIVO]=NC[[#This Row],[ATIVO]]),N(['[D/N']]="N"),N([ID]&lt;NC[[#This Row],[ID]]),N([PAR]=NC[[#This Row],[PAR]]), [LUCRO TMP]), 0)</f>
        <v>0</v>
      </c>
      <c r="AH74" s="87">
        <f>IF([U] = "U", SUMPRODUCT(N([ID]&lt;=NC[[#This Row],[ID]]),N([DATA BASE]=NC[[#This Row],[DATA BASE]]), N(['[D/N']] = "N"),    [LUCRO P/ OP]), 0)</f>
        <v>0</v>
      </c>
      <c r="AI74" s="87">
        <f>IF([U] = "U", SUMPRODUCT(N([DATA BASE]=NC[[#This Row],[DATA BASE]]), N(['[D/N']] = "D"),    [LUCRO P/ OP]), 0)</f>
        <v>0</v>
      </c>
      <c r="AJ74" s="87">
        <f>IF([U] = "U", SUMPRODUCT(N([DATA BASE]=NC[[#This Row],[DATA BASE]]), N(['[D/N']] = "D"),    [IRRF FONTE]), 0)</f>
        <v>0</v>
      </c>
      <c r="AK74" s="143">
        <f>NC[[#This Row],[LÍQUIDO]]/NC[[#This Row],[QTDE]]</f>
        <v>-1.8502333333333334</v>
      </c>
    </row>
    <row r="75" spans="1:37">
      <c r="A75" s="13">
        <v>74</v>
      </c>
      <c r="B75" s="85"/>
      <c r="C75" s="85" t="s">
        <v>136</v>
      </c>
      <c r="D75" s="85" t="s">
        <v>24</v>
      </c>
      <c r="E75" s="86">
        <v>41117</v>
      </c>
      <c r="F75" s="85">
        <v>1200</v>
      </c>
      <c r="G75" s="87">
        <v>0.52</v>
      </c>
      <c r="H75" s="96"/>
      <c r="I75" s="97"/>
      <c r="J75" s="85" t="s">
        <v>14</v>
      </c>
      <c r="K75" s="86">
        <f>WORKDAY(NC[[#This Row],[DATA]],1,0)</f>
        <v>41120</v>
      </c>
      <c r="L75" s="88">
        <f>EOMONTH(NC[[#This Row],[DATA DE LIQUIDAÇÃO]],0)</f>
        <v>41121</v>
      </c>
      <c r="M75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75" s="87">
        <f>[QTDE]*[PREÇO]</f>
        <v>624</v>
      </c>
      <c r="O75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-624</v>
      </c>
      <c r="P75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0.11</v>
      </c>
      <c r="Q75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7.0000000000000007E-2</v>
      </c>
      <c r="R75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0.09</v>
      </c>
      <c r="S75" s="87">
        <f>SETUP!$E$3 * IF([PARCIAL] &gt; 0, [QTDE] / [PARCIAL], 1)</f>
        <v>14.9</v>
      </c>
      <c r="T75" s="87">
        <f>SUMPRODUCT(N([DATA]=NC[[#This Row],[DATA]]),N([ID]&lt;=NC[[#This Row],[ID]]), [CORR])</f>
        <v>14.9</v>
      </c>
      <c r="U75" s="87">
        <f>TRUNC([CORRETAGEM]*SETUP!$F$3,2)</f>
        <v>0.28999999999999998</v>
      </c>
      <c r="V75" s="87">
        <f>ROUND([CORRETAGEM]*SETUP!$G$3,2)</f>
        <v>0.57999999999999996</v>
      </c>
      <c r="W75" s="87">
        <f>[VALOR LÍQUIDO DAS OPERAÇÕES]-[TAXA DE LIQUIDAÇÃO]-[EMOLUMENTOS]-[TAXA DE REGISTRO]-[CORRETAGEM]-[ISS]-IF(['[D/N']]="D",    0,    [OUTRAS BOVESPA]) - [AJUSTE]</f>
        <v>-639.46</v>
      </c>
      <c r="X75" s="87">
        <f>IF(AND(['[D/N']]="D",    [T]="CV",    [LÍQUIDO BASE] &gt; 0),    TRUNC([LÍQUIDO BASE]*0.01, 2),    0)</f>
        <v>0</v>
      </c>
      <c r="Y75" s="15">
        <f>IF([PREÇO] &gt; 0,    [LÍQUIDO BASE]-SUMPRODUCT(N([DATA]=NC[[#This Row],[DATA]]),    [IRRF FONTE]),    0)</f>
        <v>-642.5</v>
      </c>
      <c r="Z75" s="89">
        <f>[LÍQUIDO]-SUMPRODUCT(N([DATA]=NC[[#This Row],[DATA]]),N([ID]=(NC[[#This Row],[ID]]-1)),[LÍQUIDO])</f>
        <v>-642.5</v>
      </c>
      <c r="AA75" s="87">
        <f>IF([T] = "VC", ABS([VALOR OP]) / [QTDE], [VALOR OP]/[QTDE])</f>
        <v>-0.53541666666666665</v>
      </c>
      <c r="AB75" s="87">
        <f>TRUNC(IF(OR([T]="CV",[T]="VV"),     N75*SETUP!$H$3,     0),2)</f>
        <v>0</v>
      </c>
      <c r="AC75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75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0.53541666666666665</v>
      </c>
      <c r="AE75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75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75" s="87">
        <f>IF([LUCRO TMP] &lt;&gt; 0, [LUCRO TMP] - SUMPRODUCT(N([ATIVO]=NC[[#This Row],[ATIVO]]),N(['[D/N']]="N"),N([ID]&lt;NC[[#This Row],[ID]]),N([PAR]=NC[[#This Row],[PAR]]), [LUCRO TMP]), 0)</f>
        <v>0</v>
      </c>
      <c r="AH75" s="87">
        <f>IF([U] = "U", SUMPRODUCT(N([ID]&lt;=NC[[#This Row],[ID]]),N([DATA BASE]=NC[[#This Row],[DATA BASE]]), N(['[D/N']] = "N"),    [LUCRO P/ OP]), 0)</f>
        <v>0</v>
      </c>
      <c r="AI75" s="87">
        <f>IF([U] = "U", SUMPRODUCT(N([DATA BASE]=NC[[#This Row],[DATA BASE]]), N(['[D/N']] = "D"),    [LUCRO P/ OP]), 0)</f>
        <v>0</v>
      </c>
      <c r="AJ75" s="87">
        <f>IF([U] = "U", SUMPRODUCT(N([DATA BASE]=NC[[#This Row],[DATA BASE]]), N(['[D/N']] = "D"),    [IRRF FONTE]), 0)</f>
        <v>0</v>
      </c>
      <c r="AK75" s="143">
        <f>NC[[#This Row],[LÍQUIDO]]/NC[[#This Row],[QTDE]]</f>
        <v>-0.53541666666666665</v>
      </c>
    </row>
    <row r="76" spans="1:37">
      <c r="A76" s="13">
        <v>75</v>
      </c>
      <c r="B76" s="85"/>
      <c r="C76" s="85" t="s">
        <v>136</v>
      </c>
      <c r="D76" s="85" t="s">
        <v>25</v>
      </c>
      <c r="E76" s="86">
        <v>41117</v>
      </c>
      <c r="F76" s="85">
        <v>1200</v>
      </c>
      <c r="G76" s="87">
        <v>0.8</v>
      </c>
      <c r="H76" s="96"/>
      <c r="I76" s="97"/>
      <c r="J76" s="85" t="s">
        <v>14</v>
      </c>
      <c r="K76" s="86">
        <f>WORKDAY(NC[[#This Row],[DATA]],1,0)</f>
        <v>41120</v>
      </c>
      <c r="L76" s="88">
        <f>EOMONTH(NC[[#This Row],[DATA DE LIQUIDAÇÃO]],0)</f>
        <v>41121</v>
      </c>
      <c r="M76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76" s="87">
        <f>[QTDE]*[PREÇO]</f>
        <v>960</v>
      </c>
      <c r="O76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336</v>
      </c>
      <c r="P76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0.28000000000000003</v>
      </c>
      <c r="Q76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0.19</v>
      </c>
      <c r="R76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0.23</v>
      </c>
      <c r="S76" s="87">
        <f>SETUP!$E$3 * IF([PARCIAL] &gt; 0, [QTDE] / [PARCIAL], 1)</f>
        <v>14.9</v>
      </c>
      <c r="T76" s="87">
        <f>SUMPRODUCT(N([DATA]=NC[[#This Row],[DATA]]),N([ID]&lt;=NC[[#This Row],[ID]]), [CORR])</f>
        <v>29.8</v>
      </c>
      <c r="U76" s="87">
        <f>TRUNC([CORRETAGEM]*SETUP!$F$3,2)</f>
        <v>0.59</v>
      </c>
      <c r="V76" s="87">
        <f>ROUND([CORRETAGEM]*SETUP!$G$3,2)</f>
        <v>1.1599999999999999</v>
      </c>
      <c r="W76" s="87">
        <f>[VALOR LÍQUIDO DAS OPERAÇÕES]-[TAXA DE LIQUIDAÇÃO]-[EMOLUMENTOS]-[TAXA DE REGISTRO]-[CORRETAGEM]-[ISS]-IF(['[D/N']]="D",    0,    [OUTRAS BOVESPA]) - [AJUSTE]</f>
        <v>304.91000000000003</v>
      </c>
      <c r="X76" s="87">
        <f>IF(AND(['[D/N']]="D",    [T]="CV",    [LÍQUIDO BASE] &gt; 0),    TRUNC([LÍQUIDO BASE]*0.01, 2),    0)</f>
        <v>3.04</v>
      </c>
      <c r="Y76" s="15">
        <f>IF([PREÇO] &gt; 0,    [LÍQUIDO BASE]-SUMPRODUCT(N([DATA]=NC[[#This Row],[DATA]]),    [IRRF FONTE]),    0)</f>
        <v>301.87</v>
      </c>
      <c r="Z76" s="89">
        <f>[LÍQUIDO]-SUMPRODUCT(N([DATA]=NC[[#This Row],[DATA]]),N([ID]=(NC[[#This Row],[ID]]-1)),[LÍQUIDO])</f>
        <v>944.37</v>
      </c>
      <c r="AA76" s="87">
        <f>IF([T] = "VC", ABS([VALOR OP]) / [QTDE], [VALOR OP]/[QTDE])</f>
        <v>0.78697499999999998</v>
      </c>
      <c r="AB76" s="87">
        <f>TRUNC(IF(OR([T]="CV",[T]="VV"),     N76*SETUP!$H$3,     0),2)</f>
        <v>0.04</v>
      </c>
      <c r="AC76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76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0.53541666666666665</v>
      </c>
      <c r="AE76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0.78697499999999998</v>
      </c>
      <c r="AF76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304.91000000000003</v>
      </c>
      <c r="AG76" s="87">
        <f>IF([LUCRO TMP] &lt;&gt; 0, [LUCRO TMP] - SUMPRODUCT(N([ATIVO]=NC[[#This Row],[ATIVO]]),N(['[D/N']]="N"),N([ID]&lt;NC[[#This Row],[ID]]),N([PAR]=NC[[#This Row],[PAR]]), [LUCRO TMP]), 0)</f>
        <v>304.91000000000003</v>
      </c>
      <c r="AH76" s="87">
        <f>IF([U] = "U", SUMPRODUCT(N([ID]&lt;=NC[[#This Row],[ID]]),N([DATA BASE]=NC[[#This Row],[DATA BASE]]), N(['[D/N']] = "N"),    [LUCRO P/ OP]), 0)</f>
        <v>0</v>
      </c>
      <c r="AI76" s="87">
        <f>IF([U] = "U", SUMPRODUCT(N([DATA BASE]=NC[[#This Row],[DATA BASE]]), N(['[D/N']] = "D"),    [LUCRO P/ OP]), 0)</f>
        <v>0</v>
      </c>
      <c r="AJ76" s="87">
        <f>IF([U] = "U", SUMPRODUCT(N([DATA BASE]=NC[[#This Row],[DATA BASE]]), N(['[D/N']] = "D"),    [IRRF FONTE]), 0)</f>
        <v>0</v>
      </c>
      <c r="AK76" s="143">
        <f>NC[[#This Row],[LÍQUIDO]]/NC[[#This Row],[QTDE]]</f>
        <v>0.25155833333333333</v>
      </c>
    </row>
    <row r="77" spans="1:37">
      <c r="A77" s="13">
        <v>76</v>
      </c>
      <c r="B77" s="85" t="s">
        <v>49</v>
      </c>
      <c r="C77" s="85" t="s">
        <v>135</v>
      </c>
      <c r="D77" s="85" t="s">
        <v>25</v>
      </c>
      <c r="E77" s="86">
        <v>41117</v>
      </c>
      <c r="F77" s="85">
        <v>300</v>
      </c>
      <c r="G77" s="87">
        <v>2.25</v>
      </c>
      <c r="H77" s="96"/>
      <c r="I77" s="97">
        <v>0</v>
      </c>
      <c r="J77" s="85" t="s">
        <v>6</v>
      </c>
      <c r="K77" s="86">
        <f>WORKDAY(NC[[#This Row],[DATA]],1,0)</f>
        <v>41120</v>
      </c>
      <c r="L77" s="88">
        <f>EOMONTH(NC[[#This Row],[DATA DE LIQUIDAÇÃO]],0)</f>
        <v>41121</v>
      </c>
      <c r="M77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77" s="87">
        <f>[QTDE]*[PREÇO]</f>
        <v>675</v>
      </c>
      <c r="O77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1011</v>
      </c>
      <c r="P77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0.47</v>
      </c>
      <c r="Q77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0.43</v>
      </c>
      <c r="R77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0.7</v>
      </c>
      <c r="S77" s="87">
        <f>SETUP!$E$3 * IF([PARCIAL] &gt; 0, [QTDE] / [PARCIAL], 1)</f>
        <v>14.9</v>
      </c>
      <c r="T77" s="87">
        <f>SUMPRODUCT(N([DATA]=NC[[#This Row],[DATA]]),N([ID]&lt;=NC[[#This Row],[ID]]), [CORR])</f>
        <v>44.7</v>
      </c>
      <c r="U77" s="87">
        <f>TRUNC([CORRETAGEM]*SETUP!$F$3,2)</f>
        <v>0.89</v>
      </c>
      <c r="V77" s="87">
        <f>ROUND([CORRETAGEM]*SETUP!$G$3,2)</f>
        <v>1.74</v>
      </c>
      <c r="W77" s="87">
        <f>[VALOR LÍQUIDO DAS OPERAÇÕES]-[TAXA DE LIQUIDAÇÃO]-[EMOLUMENTOS]-[TAXA DE REGISTRO]-[CORRETAGEM]-[ISS]-IF(['[D/N']]="D",    0,    [OUTRAS BOVESPA]) - [AJUSTE]</f>
        <v>962.06999999999994</v>
      </c>
      <c r="X77" s="87">
        <f>IF(AND(['[D/N']]="D",    [T]="CV",    [LÍQUIDO BASE] &gt; 0),    TRUNC([LÍQUIDO BASE]*0.01, 2),    0)</f>
        <v>0</v>
      </c>
      <c r="Y77" s="15">
        <f>IF([PREÇO] &gt; 0,    [LÍQUIDO BASE]-SUMPRODUCT(N([DATA]=NC[[#This Row],[DATA]]),    [IRRF FONTE]),    0)</f>
        <v>959.03</v>
      </c>
      <c r="Z77" s="89">
        <f>[LÍQUIDO]-SUMPRODUCT(N([DATA]=NC[[#This Row],[DATA]]),N([ID]=(NC[[#This Row],[ID]]-1)),[LÍQUIDO])</f>
        <v>657.16</v>
      </c>
      <c r="AA77" s="87">
        <f>IF([T] = "VC", ABS([VALOR OP]) / [QTDE], [VALOR OP]/[QTDE])</f>
        <v>2.1905333333333332</v>
      </c>
      <c r="AB77" s="87">
        <f>TRUNC(IF(OR([T]="CV",[T]="VV"),     N77*SETUP!$H$3,     0),2)</f>
        <v>0.03</v>
      </c>
      <c r="AC77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77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1.5484333333333333</v>
      </c>
      <c r="AE77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2.1905333333333332</v>
      </c>
      <c r="AF77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192.62999999999997</v>
      </c>
      <c r="AG77" s="87">
        <f>IF([LUCRO TMP] &lt;&gt; 0, [LUCRO TMP] - SUMPRODUCT(N([ATIVO]=NC[[#This Row],[ATIVO]]),N(['[D/N']]="N"),N([ID]&lt;NC[[#This Row],[ID]]),N([PAR]=NC[[#This Row],[PAR]]), [LUCRO TMP]), 0)</f>
        <v>192.62999999999997</v>
      </c>
      <c r="AH77" s="87">
        <f>IF([U] = "U", SUMPRODUCT(N([ID]&lt;=NC[[#This Row],[ID]]),N([DATA BASE]=NC[[#This Row],[DATA BASE]]), N(['[D/N']] = "N"),    [LUCRO P/ OP]), 0)</f>
        <v>-702.5799999999989</v>
      </c>
      <c r="AI77" s="87">
        <f>IF([U] = "U", SUMPRODUCT(N([DATA BASE]=NC[[#This Row],[DATA BASE]]), N(['[D/N']] = "D"),    [LUCRO P/ OP]), 0)</f>
        <v>183.78</v>
      </c>
      <c r="AJ77" s="87">
        <f>IF([U] = "U", SUMPRODUCT(N([DATA BASE]=NC[[#This Row],[DATA BASE]]), N(['[D/N']] = "D"),    [IRRF FONTE]), 0)</f>
        <v>3.04</v>
      </c>
      <c r="AK77" s="143">
        <f>NC[[#This Row],[LÍQUIDO]]/NC[[#This Row],[QTDE]]</f>
        <v>3.1967666666666665</v>
      </c>
    </row>
    <row r="78" spans="1:37">
      <c r="A78" s="13">
        <v>77</v>
      </c>
      <c r="B78" s="85"/>
      <c r="C78" s="85" t="s">
        <v>137</v>
      </c>
      <c r="D78" s="85" t="s">
        <v>24</v>
      </c>
      <c r="E78" s="86">
        <v>41123</v>
      </c>
      <c r="F78" s="85">
        <v>1500</v>
      </c>
      <c r="G78" s="87">
        <v>0.68</v>
      </c>
      <c r="H78" s="96"/>
      <c r="I78" s="97">
        <v>0</v>
      </c>
      <c r="J78" s="85" t="s">
        <v>14</v>
      </c>
      <c r="K78" s="86">
        <f>WORKDAY(NC[[#This Row],[DATA]],1,0)</f>
        <v>41124</v>
      </c>
      <c r="L78" s="88">
        <f>EOMONTH(NC[[#This Row],[DATA DE LIQUIDAÇÃO]],0)</f>
        <v>41152</v>
      </c>
      <c r="M78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78" s="87">
        <f>[QTDE]*[PREÇO]</f>
        <v>1020.0000000000001</v>
      </c>
      <c r="O78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-1020.0000000000001</v>
      </c>
      <c r="P78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0.18</v>
      </c>
      <c r="Q78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0.12</v>
      </c>
      <c r="R78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0.15</v>
      </c>
      <c r="S78" s="87">
        <f>SETUP!$E$3 * IF([PARCIAL] &gt; 0, [QTDE] / [PARCIAL], 1)</f>
        <v>14.9</v>
      </c>
      <c r="T78" s="87">
        <f>SUMPRODUCT(N([DATA]=NC[[#This Row],[DATA]]),N([ID]&lt;=NC[[#This Row],[ID]]), [CORR])</f>
        <v>14.9</v>
      </c>
      <c r="U78" s="87">
        <f>TRUNC([CORRETAGEM]*SETUP!$F$3,2)</f>
        <v>0.28999999999999998</v>
      </c>
      <c r="V78" s="87">
        <f>ROUND([CORRETAGEM]*SETUP!$G$3,2)</f>
        <v>0.57999999999999996</v>
      </c>
      <c r="W78" s="87">
        <f>[VALOR LÍQUIDO DAS OPERAÇÕES]-[TAXA DE LIQUIDAÇÃO]-[EMOLUMENTOS]-[TAXA DE REGISTRO]-[CORRETAGEM]-[ISS]-IF(['[D/N']]="D",    0,    [OUTRAS BOVESPA]) - [AJUSTE]</f>
        <v>-1035.6400000000001</v>
      </c>
      <c r="X78" s="87">
        <f>IF(AND(['[D/N']]="D",    [T]="CV",    [LÍQUIDO BASE] &gt; 0),    TRUNC([LÍQUIDO BASE]*0.01, 2),    0)</f>
        <v>0</v>
      </c>
      <c r="Y78" s="15">
        <f>IF([PREÇO] &gt; 0,    [LÍQUIDO BASE]-SUMPRODUCT(N([DATA]=NC[[#This Row],[DATA]]),    [IRRF FONTE]),    0)</f>
        <v>-1035.6400000000001</v>
      </c>
      <c r="Z78" s="89">
        <f>[LÍQUIDO]-SUMPRODUCT(N([DATA]=NC[[#This Row],[DATA]]),N([ID]=(NC[[#This Row],[ID]]-1)),[LÍQUIDO])</f>
        <v>-1035.6400000000001</v>
      </c>
      <c r="AA78" s="87">
        <f>IF([T] = "VC", ABS([VALOR OP]) / [QTDE], [VALOR OP]/[QTDE])</f>
        <v>-0.69042666666666674</v>
      </c>
      <c r="AB78" s="87">
        <f>TRUNC(IF(OR([T]="CV",[T]="VV"),     N78*SETUP!$H$3,     0),2)</f>
        <v>0</v>
      </c>
      <c r="AC78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78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0.69042666666666674</v>
      </c>
      <c r="AE78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78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78" s="87">
        <f>IF([LUCRO TMP] &lt;&gt; 0, [LUCRO TMP] - SUMPRODUCT(N([ATIVO]=NC[[#This Row],[ATIVO]]),N(['[D/N']]="N"),N([ID]&lt;NC[[#This Row],[ID]]),N([PAR]=NC[[#This Row],[PAR]]), [LUCRO TMP]), 0)</f>
        <v>0</v>
      </c>
      <c r="AH78" s="87">
        <f>IF([U] = "U", SUMPRODUCT(N([ID]&lt;=NC[[#This Row],[ID]]),N([DATA BASE]=NC[[#This Row],[DATA BASE]]), N(['[D/N']] = "N"),    [LUCRO P/ OP]), 0)</f>
        <v>0</v>
      </c>
      <c r="AI78" s="87">
        <f>IF([U] = "U", SUMPRODUCT(N([DATA BASE]=NC[[#This Row],[DATA BASE]]), N(['[D/N']] = "D"),    [LUCRO P/ OP]), 0)</f>
        <v>0</v>
      </c>
      <c r="AJ78" s="87">
        <f>IF([U] = "U", SUMPRODUCT(N([DATA BASE]=NC[[#This Row],[DATA BASE]]), N(['[D/N']] = "D"),    [IRRF FONTE]), 0)</f>
        <v>0</v>
      </c>
      <c r="AK78" s="143">
        <f>NC[[#This Row],[LÍQUIDO]]/NC[[#This Row],[QTDE]]</f>
        <v>-0.69042666666666674</v>
      </c>
    </row>
    <row r="79" spans="1:37">
      <c r="A79" s="13">
        <v>78</v>
      </c>
      <c r="B79" s="85"/>
      <c r="C79" s="85" t="s">
        <v>137</v>
      </c>
      <c r="D79" s="85" t="s">
        <v>25</v>
      </c>
      <c r="E79" s="86">
        <v>41123</v>
      </c>
      <c r="F79" s="85">
        <v>1500</v>
      </c>
      <c r="G79" s="87">
        <v>0.53</v>
      </c>
      <c r="H79" s="96"/>
      <c r="I79" s="97">
        <v>1.1599999999999999</v>
      </c>
      <c r="J79" s="85" t="s">
        <v>14</v>
      </c>
      <c r="K79" s="86">
        <f>WORKDAY(NC[[#This Row],[DATA]],1,0)</f>
        <v>41124</v>
      </c>
      <c r="L79" s="88">
        <f>EOMONTH(NC[[#This Row],[DATA DE LIQUIDAÇÃO]],0)</f>
        <v>41152</v>
      </c>
      <c r="M79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79" s="87">
        <f>[QTDE]*[PREÇO]</f>
        <v>795</v>
      </c>
      <c r="O79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-225.00000000000011</v>
      </c>
      <c r="P79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0.32</v>
      </c>
      <c r="Q79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0.21</v>
      </c>
      <c r="R79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0.27</v>
      </c>
      <c r="S79" s="87">
        <f>SETUP!$E$3 * IF([PARCIAL] &gt; 0, [QTDE] / [PARCIAL], 1)</f>
        <v>14.9</v>
      </c>
      <c r="T79" s="87">
        <f>SUMPRODUCT(N([DATA]=NC[[#This Row],[DATA]]),N([ID]&lt;=NC[[#This Row],[ID]]), [CORR])</f>
        <v>29.8</v>
      </c>
      <c r="U79" s="87">
        <f>TRUNC([CORRETAGEM]*SETUP!$F$3,2)</f>
        <v>0.59</v>
      </c>
      <c r="V79" s="87">
        <f>ROUND([CORRETAGEM]*SETUP!$G$3,2)</f>
        <v>1.1599999999999999</v>
      </c>
      <c r="W79" s="87">
        <f>[VALOR LÍQUIDO DAS OPERAÇÕES]-[TAXA DE LIQUIDAÇÃO]-[EMOLUMENTOS]-[TAXA DE REGISTRO]-[CORRETAGEM]-[ISS]-IF(['[D/N']]="D",    0,    [OUTRAS BOVESPA]) - [AJUSTE]</f>
        <v>-257.35000000000014</v>
      </c>
      <c r="X79" s="87">
        <f>IF(AND(['[D/N']]="D",    [T]="CV",    [LÍQUIDO BASE] &gt; 0),    TRUNC([LÍQUIDO BASE]*0.01, 2),    0)</f>
        <v>0</v>
      </c>
      <c r="Y79" s="15">
        <f>IF([PREÇO] &gt; 0,    [LÍQUIDO BASE]-SUMPRODUCT(N([DATA]=NC[[#This Row],[DATA]]),    [IRRF FONTE]),    0)</f>
        <v>-257.35000000000014</v>
      </c>
      <c r="Z79" s="89">
        <f>[LÍQUIDO]-SUMPRODUCT(N([DATA]=NC[[#This Row],[DATA]]),N([ID]=(NC[[#This Row],[ID]]-1)),[LÍQUIDO])</f>
        <v>778.29</v>
      </c>
      <c r="AA79" s="87">
        <f>IF([T] = "VC", ABS([VALOR OP]) / [QTDE], [VALOR OP]/[QTDE])</f>
        <v>0.51885999999999999</v>
      </c>
      <c r="AB79" s="87">
        <f>TRUNC(IF(OR([T]="CV",[T]="VV"),     N79*SETUP!$H$3,     0),2)</f>
        <v>0.03</v>
      </c>
      <c r="AC79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79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0.69042666666666674</v>
      </c>
      <c r="AE79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0.51885999999999999</v>
      </c>
      <c r="AF79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-257.35000000000014</v>
      </c>
      <c r="AG79" s="87">
        <f>IF([LUCRO TMP] &lt;&gt; 0, [LUCRO TMP] - SUMPRODUCT(N([ATIVO]=NC[[#This Row],[ATIVO]]),N(['[D/N']]="N"),N([ID]&lt;NC[[#This Row],[ID]]),N([PAR]=NC[[#This Row],[PAR]]), [LUCRO TMP]), 0)</f>
        <v>-257.35000000000014</v>
      </c>
      <c r="AH79" s="87">
        <f>IF([U] = "U", SUMPRODUCT(N([ID]&lt;=NC[[#This Row],[ID]]),N([DATA BASE]=NC[[#This Row],[DATA BASE]]), N(['[D/N']] = "N"),    [LUCRO P/ OP]), 0)</f>
        <v>0</v>
      </c>
      <c r="AI79" s="87">
        <f>IF([U] = "U", SUMPRODUCT(N([DATA BASE]=NC[[#This Row],[DATA BASE]]), N(['[D/N']] = "D"),    [LUCRO P/ OP]), 0)</f>
        <v>0</v>
      </c>
      <c r="AJ79" s="87">
        <f>IF([U] = "U", SUMPRODUCT(N([DATA BASE]=NC[[#This Row],[DATA BASE]]), N(['[D/N']] = "D"),    [IRRF FONTE]), 0)</f>
        <v>0</v>
      </c>
      <c r="AK79" s="143">
        <f>NC[[#This Row],[LÍQUIDO]]/NC[[#This Row],[QTDE]]</f>
        <v>-0.17156666666666676</v>
      </c>
    </row>
    <row r="80" spans="1:37">
      <c r="A80" s="13">
        <v>79</v>
      </c>
      <c r="B80" s="85"/>
      <c r="C80" s="85" t="s">
        <v>138</v>
      </c>
      <c r="D80" s="85" t="s">
        <v>24</v>
      </c>
      <c r="E80" s="86">
        <v>41124</v>
      </c>
      <c r="F80" s="85">
        <v>2300</v>
      </c>
      <c r="G80" s="87">
        <v>0.3</v>
      </c>
      <c r="H80" s="96"/>
      <c r="I80" s="97">
        <v>0</v>
      </c>
      <c r="J80" s="85" t="s">
        <v>14</v>
      </c>
      <c r="K80" s="86">
        <f>WORKDAY(NC[[#This Row],[DATA]],1,0)</f>
        <v>41127</v>
      </c>
      <c r="L80" s="88">
        <f>EOMONTH(NC[[#This Row],[DATA DE LIQUIDAÇÃO]],0)</f>
        <v>41152</v>
      </c>
      <c r="M80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80" s="87">
        <f>[QTDE]*[PREÇO]</f>
        <v>690</v>
      </c>
      <c r="O80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-690</v>
      </c>
      <c r="P80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0.12</v>
      </c>
      <c r="Q80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0.08</v>
      </c>
      <c r="R80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</v>
      </c>
      <c r="S80" s="87">
        <f>SETUP!$E$3 * IF([PARCIAL] &gt; 0, [QTDE] / [PARCIAL], 1)</f>
        <v>14.9</v>
      </c>
      <c r="T80" s="87">
        <f>SUMPRODUCT(N([DATA]=NC[[#This Row],[DATA]]),N([ID]&lt;=NC[[#This Row],[ID]]), [CORR])</f>
        <v>14.9</v>
      </c>
      <c r="U80" s="87">
        <f>TRUNC([CORRETAGEM]*SETUP!$F$3,2)</f>
        <v>0.28999999999999998</v>
      </c>
      <c r="V80" s="87">
        <f>ROUND([CORRETAGEM]*SETUP!$G$3,2)</f>
        <v>0.57999999999999996</v>
      </c>
      <c r="W80" s="87">
        <f>[VALOR LÍQUIDO DAS OPERAÇÕES]-[TAXA DE LIQUIDAÇÃO]-[EMOLUMENTOS]-[TAXA DE REGISTRO]-[CORRETAGEM]-[ISS]-IF(['[D/N']]="D",    0,    [OUTRAS BOVESPA]) - [AJUSTE]</f>
        <v>-705.49</v>
      </c>
      <c r="X80" s="87">
        <f>IF(AND(['[D/N']]="D",    [T]="CV",    [LÍQUIDO BASE] &gt; 0),    TRUNC([LÍQUIDO BASE]*0.01, 2),    0)</f>
        <v>0</v>
      </c>
      <c r="Y80" s="15">
        <f>IF([PREÇO] &gt; 0,    [LÍQUIDO BASE]-SUMPRODUCT(N([DATA]=NC[[#This Row],[DATA]]),    [IRRF FONTE]),    0)</f>
        <v>-705.49</v>
      </c>
      <c r="Z80" s="89">
        <f>[LÍQUIDO]-SUMPRODUCT(N([DATA]=NC[[#This Row],[DATA]]),N([ID]=(NC[[#This Row],[ID]]-1)),[LÍQUIDO])</f>
        <v>-705.49</v>
      </c>
      <c r="AA80" s="87">
        <f>IF([T] = "VC", ABS([VALOR OP]) / [QTDE], [VALOR OP]/[QTDE])</f>
        <v>-0.30673478260869563</v>
      </c>
      <c r="AB80" s="87">
        <f>TRUNC(IF(OR([T]="CV",[T]="VV"),     N80*SETUP!$H$3,     0),2)</f>
        <v>0</v>
      </c>
      <c r="AC80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80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0.30673478260869563</v>
      </c>
      <c r="AE80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80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80" s="87">
        <f>IF([LUCRO TMP] &lt;&gt; 0, [LUCRO TMP] - SUMPRODUCT(N([ATIVO]=NC[[#This Row],[ATIVO]]),N(['[D/N']]="N"),N([ID]&lt;NC[[#This Row],[ID]]),N([PAR]=NC[[#This Row],[PAR]]), [LUCRO TMP]), 0)</f>
        <v>0</v>
      </c>
      <c r="AH80" s="87">
        <f>IF([U] = "U", SUMPRODUCT(N([ID]&lt;=NC[[#This Row],[ID]]),N([DATA BASE]=NC[[#This Row],[DATA BASE]]), N(['[D/N']] = "N"),    [LUCRO P/ OP]), 0)</f>
        <v>0</v>
      </c>
      <c r="AI80" s="87">
        <f>IF([U] = "U", SUMPRODUCT(N([DATA BASE]=NC[[#This Row],[DATA BASE]]), N(['[D/N']] = "D"),    [LUCRO P/ OP]), 0)</f>
        <v>0</v>
      </c>
      <c r="AJ80" s="87">
        <f>IF([U] = "U", SUMPRODUCT(N([DATA BASE]=NC[[#This Row],[DATA BASE]]), N(['[D/N']] = "D"),    [IRRF FONTE]), 0)</f>
        <v>0</v>
      </c>
      <c r="AK80" s="143">
        <f>NC[[#This Row],[LÍQUIDO]]/NC[[#This Row],[QTDE]]</f>
        <v>-0.30673478260869563</v>
      </c>
    </row>
    <row r="81" spans="1:37">
      <c r="A81" s="13">
        <v>80</v>
      </c>
      <c r="B81" s="85" t="s">
        <v>49</v>
      </c>
      <c r="C81" s="85" t="s">
        <v>138</v>
      </c>
      <c r="D81" s="85" t="s">
        <v>25</v>
      </c>
      <c r="E81" s="86">
        <v>41124</v>
      </c>
      <c r="F81" s="85">
        <v>2300</v>
      </c>
      <c r="G81" s="87">
        <v>0.21</v>
      </c>
      <c r="H81" s="96"/>
      <c r="I81" s="97">
        <v>0</v>
      </c>
      <c r="J81" s="85" t="s">
        <v>14</v>
      </c>
      <c r="K81" s="86">
        <f>WORKDAY(NC[[#This Row],[DATA]],1,0)</f>
        <v>41127</v>
      </c>
      <c r="L81" s="88">
        <f>EOMONTH(NC[[#This Row],[DATA DE LIQUIDAÇÃO]],0)</f>
        <v>41152</v>
      </c>
      <c r="M81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81" s="87">
        <f>[QTDE]*[PREÇO]</f>
        <v>483</v>
      </c>
      <c r="O81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-207</v>
      </c>
      <c r="P81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0.21</v>
      </c>
      <c r="Q81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0.14000000000000001</v>
      </c>
      <c r="R81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0.17</v>
      </c>
      <c r="S81" s="87">
        <f>SETUP!$E$3 * IF([PARCIAL] &gt; 0, [QTDE] / [PARCIAL], 1)</f>
        <v>14.9</v>
      </c>
      <c r="T81" s="87">
        <f>SUMPRODUCT(N([DATA]=NC[[#This Row],[DATA]]),N([ID]&lt;=NC[[#This Row],[ID]]), [CORR])</f>
        <v>29.8</v>
      </c>
      <c r="U81" s="87">
        <f>TRUNC([CORRETAGEM]*SETUP!$F$3,2)</f>
        <v>0.59</v>
      </c>
      <c r="V81" s="87">
        <f>ROUND([CORRETAGEM]*SETUP!$G$3,2)</f>
        <v>1.1599999999999999</v>
      </c>
      <c r="W81" s="87">
        <f>[VALOR LÍQUIDO DAS OPERAÇÕES]-[TAXA DE LIQUIDAÇÃO]-[EMOLUMENTOS]-[TAXA DE REGISTRO]-[CORRETAGEM]-[ISS]-IF(['[D/N']]="D",    0,    [OUTRAS BOVESPA]) - [AJUSTE]</f>
        <v>-237.91</v>
      </c>
      <c r="X81" s="87">
        <f>IF(AND(['[D/N']]="D",    [T]="CV",    [LÍQUIDO BASE] &gt; 0),    TRUNC([LÍQUIDO BASE]*0.01, 2),    0)</f>
        <v>0</v>
      </c>
      <c r="Y81" s="15">
        <f>IF([PREÇO] &gt; 0,    [LÍQUIDO BASE]-SUMPRODUCT(N([DATA]=NC[[#This Row],[DATA]]),    [IRRF FONTE]),    0)</f>
        <v>-237.91</v>
      </c>
      <c r="Z81" s="89">
        <f>[LÍQUIDO]-SUMPRODUCT(N([DATA]=NC[[#This Row],[DATA]]),N([ID]=(NC[[#This Row],[ID]]-1)),[LÍQUIDO])</f>
        <v>467.58000000000004</v>
      </c>
      <c r="AA81" s="87">
        <f>IF([T] = "VC", ABS([VALOR OP]) / [QTDE], [VALOR OP]/[QTDE])</f>
        <v>0.20329565217391307</v>
      </c>
      <c r="AB81" s="87">
        <f>TRUNC(IF(OR([T]="CV",[T]="VV"),     N81*SETUP!$H$3,     0),2)</f>
        <v>0.02</v>
      </c>
      <c r="AC81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81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0.30673478260869563</v>
      </c>
      <c r="AE81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0.20329565217391307</v>
      </c>
      <c r="AF81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-237.90999999999988</v>
      </c>
      <c r="AG81" s="87">
        <f>IF([LUCRO TMP] &lt;&gt; 0, [LUCRO TMP] - SUMPRODUCT(N([ATIVO]=NC[[#This Row],[ATIVO]]),N(['[D/N']]="N"),N([ID]&lt;NC[[#This Row],[ID]]),N([PAR]=NC[[#This Row],[PAR]]), [LUCRO TMP]), 0)</f>
        <v>-237.90999999999988</v>
      </c>
      <c r="AH81" s="87">
        <f>IF([U] = "U", SUMPRODUCT(N([ID]&lt;=NC[[#This Row],[ID]]),N([DATA BASE]=NC[[#This Row],[DATA BASE]]), N(['[D/N']] = "N"),    [LUCRO P/ OP]), 0)</f>
        <v>0</v>
      </c>
      <c r="AI81" s="87">
        <f>IF([U] = "U", SUMPRODUCT(N([DATA BASE]=NC[[#This Row],[DATA BASE]]), N(['[D/N']] = "D"),    [LUCRO P/ OP]), 0)</f>
        <v>-652.46999999999991</v>
      </c>
      <c r="AJ81" s="87">
        <f>IF([U] = "U", SUMPRODUCT(N([DATA BASE]=NC[[#This Row],[DATA BASE]]), N(['[D/N']] = "D"),    [IRRF FONTE]), 0)</f>
        <v>0</v>
      </c>
      <c r="AK81" s="143">
        <f>NC[[#This Row],[LÍQUIDO]]/NC[[#This Row],[QTDE]]</f>
        <v>-0.1034391304347826</v>
      </c>
    </row>
    <row r="82" spans="1:37">
      <c r="A82" s="13">
        <v>81</v>
      </c>
      <c r="B82" s="85"/>
      <c r="C82" s="85" t="s">
        <v>139</v>
      </c>
      <c r="D82" s="85" t="s">
        <v>24</v>
      </c>
      <c r="E82" s="86">
        <v>41129</v>
      </c>
      <c r="F82" s="85">
        <v>10000</v>
      </c>
      <c r="G82" s="87">
        <v>0.19</v>
      </c>
      <c r="H82" s="96"/>
      <c r="I82" s="97"/>
      <c r="J82" s="85" t="s">
        <v>14</v>
      </c>
      <c r="K82" s="86">
        <f>WORKDAY(NC[[#This Row],[DATA]],1,0)</f>
        <v>41130</v>
      </c>
      <c r="L82" s="88">
        <f>EOMONTH(NC[[#This Row],[DATA DE LIQUIDAÇÃO]],0)</f>
        <v>41152</v>
      </c>
      <c r="M82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82" s="87">
        <f>[QTDE]*[PREÇO]</f>
        <v>1900</v>
      </c>
      <c r="O82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-1900</v>
      </c>
      <c r="P82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0.34</v>
      </c>
      <c r="Q82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0.22</v>
      </c>
      <c r="R82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0.28000000000000003</v>
      </c>
      <c r="S82" s="87">
        <f>SETUP!$E$3 * IF([PARCIAL] &gt; 0, [QTDE] / [PARCIAL], 1)</f>
        <v>14.9</v>
      </c>
      <c r="T82" s="87">
        <f>SUMPRODUCT(N([DATA]=NC[[#This Row],[DATA]]),N([ID]&lt;=NC[[#This Row],[ID]]), [CORR])</f>
        <v>14.9</v>
      </c>
      <c r="U82" s="87">
        <f>TRUNC([CORRETAGEM]*SETUP!$F$3,2)</f>
        <v>0.28999999999999998</v>
      </c>
      <c r="V82" s="87">
        <f>ROUND([CORRETAGEM]*SETUP!$G$3,2)</f>
        <v>0.57999999999999996</v>
      </c>
      <c r="W82" s="87">
        <f>[VALOR LÍQUIDO DAS OPERAÇÕES]-[TAXA DE LIQUIDAÇÃO]-[EMOLUMENTOS]-[TAXA DE REGISTRO]-[CORRETAGEM]-[ISS]-IF(['[D/N']]="D",    0,    [OUTRAS BOVESPA]) - [AJUSTE]</f>
        <v>-1916.03</v>
      </c>
      <c r="X82" s="87">
        <f>IF(AND(['[D/N']]="D",    [T]="CV",    [LÍQUIDO BASE] &gt; 0),    TRUNC([LÍQUIDO BASE]*0.01, 2),    0)</f>
        <v>0</v>
      </c>
      <c r="Y82" s="15">
        <f>IF([PREÇO] &gt; 0,    [LÍQUIDO BASE]-SUMPRODUCT(N([DATA]=NC[[#This Row],[DATA]]),    [IRRF FONTE]),    0)</f>
        <v>-1916.03</v>
      </c>
      <c r="Z82" s="89">
        <f>[LÍQUIDO]-SUMPRODUCT(N([DATA]=NC[[#This Row],[DATA]]),N([ID]=(NC[[#This Row],[ID]]-1)),[LÍQUIDO])</f>
        <v>-1916.03</v>
      </c>
      <c r="AA82" s="87">
        <f>IF([T] = "VC", ABS([VALOR OP]) / [QTDE], [VALOR OP]/[QTDE])</f>
        <v>-0.191603</v>
      </c>
      <c r="AB82" s="87">
        <f>TRUNC(IF(OR([T]="CV",[T]="VV"),     N82*SETUP!$H$3,     0),2)</f>
        <v>0</v>
      </c>
      <c r="AC82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82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0.191603</v>
      </c>
      <c r="AE82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82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82" s="87">
        <f>IF([LUCRO TMP] &lt;&gt; 0, [LUCRO TMP] - SUMPRODUCT(N([ATIVO]=NC[[#This Row],[ATIVO]]),N(['[D/N']]="N"),N([ID]&lt;NC[[#This Row],[ID]]),N([PAR]=NC[[#This Row],[PAR]]), [LUCRO TMP]), 0)</f>
        <v>0</v>
      </c>
      <c r="AH82" s="87">
        <f>IF([U] = "U", SUMPRODUCT(N([ID]&lt;=NC[[#This Row],[ID]]),N([DATA BASE]=NC[[#This Row],[DATA BASE]]), N(['[D/N']] = "N"),    [LUCRO P/ OP]), 0)</f>
        <v>0</v>
      </c>
      <c r="AI82" s="87">
        <f>IF([U] = "U", SUMPRODUCT(N([DATA BASE]=NC[[#This Row],[DATA BASE]]), N(['[D/N']] = "D"),    [LUCRO P/ OP]), 0)</f>
        <v>0</v>
      </c>
      <c r="AJ82" s="87">
        <f>IF([U] = "U", SUMPRODUCT(N([DATA BASE]=NC[[#This Row],[DATA BASE]]), N(['[D/N']] = "D"),    [IRRF FONTE]), 0)</f>
        <v>0</v>
      </c>
      <c r="AK82" s="143">
        <f>NC[[#This Row],[LÍQUIDO]]/NC[[#This Row],[QTDE]]</f>
        <v>-0.191603</v>
      </c>
    </row>
    <row r="83" spans="1:37">
      <c r="A83" s="13">
        <v>82</v>
      </c>
      <c r="B83" s="85"/>
      <c r="C83" s="85" t="s">
        <v>139</v>
      </c>
      <c r="D83" s="85" t="s">
        <v>25</v>
      </c>
      <c r="E83" s="86">
        <v>41129</v>
      </c>
      <c r="F83" s="85">
        <v>10000</v>
      </c>
      <c r="G83" s="87">
        <v>0.19</v>
      </c>
      <c r="H83" s="96"/>
      <c r="I83" s="97"/>
      <c r="J83" s="85" t="s">
        <v>14</v>
      </c>
      <c r="K83" s="86">
        <f>WORKDAY(NC[[#This Row],[DATA]],1,0)</f>
        <v>41130</v>
      </c>
      <c r="L83" s="88">
        <f>EOMONTH(NC[[#This Row],[DATA DE LIQUIDAÇÃO]],0)</f>
        <v>41152</v>
      </c>
      <c r="M83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83" s="87">
        <f>[QTDE]*[PREÇO]</f>
        <v>1900</v>
      </c>
      <c r="O83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83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0.68</v>
      </c>
      <c r="Q83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0.45</v>
      </c>
      <c r="R83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0.56999999999999995</v>
      </c>
      <c r="S83" s="87">
        <f>SETUP!$E$3 * IF([PARCIAL] &gt; 0, [QTDE] / [PARCIAL], 1)</f>
        <v>14.9</v>
      </c>
      <c r="T83" s="87">
        <f>SUMPRODUCT(N([DATA]=NC[[#This Row],[DATA]]),N([ID]&lt;=NC[[#This Row],[ID]]), [CORR])</f>
        <v>29.8</v>
      </c>
      <c r="U83" s="87">
        <f>TRUNC([CORRETAGEM]*SETUP!$F$3,2)</f>
        <v>0.59</v>
      </c>
      <c r="V83" s="87">
        <f>ROUND([CORRETAGEM]*SETUP!$G$3,2)</f>
        <v>1.1599999999999999</v>
      </c>
      <c r="W83" s="87">
        <f>[VALOR LÍQUIDO DAS OPERAÇÕES]-[TAXA DE LIQUIDAÇÃO]-[EMOLUMENTOS]-[TAXA DE REGISTRO]-[CORRETAGEM]-[ISS]-IF(['[D/N']]="D",    0,    [OUTRAS BOVESPA]) - [AJUSTE]</f>
        <v>-32.090000000000003</v>
      </c>
      <c r="X83" s="87">
        <f>IF(AND(['[D/N']]="D",    [T]="CV",    [LÍQUIDO BASE] &gt; 0),    TRUNC([LÍQUIDO BASE]*0.01, 2),    0)</f>
        <v>0</v>
      </c>
      <c r="Y83" s="15">
        <f>IF([PREÇO] &gt; 0,    [LÍQUIDO BASE]-SUMPRODUCT(N([DATA]=NC[[#This Row],[DATA]]),    [IRRF FONTE]),    0)</f>
        <v>-32.090000000000003</v>
      </c>
      <c r="Z83" s="89">
        <f>[LÍQUIDO]-SUMPRODUCT(N([DATA]=NC[[#This Row],[DATA]]),N([ID]=(NC[[#This Row],[ID]]-1)),[LÍQUIDO])</f>
        <v>1883.94</v>
      </c>
      <c r="AA83" s="87">
        <f>IF([T] = "VC", ABS([VALOR OP]) / [QTDE], [VALOR OP]/[QTDE])</f>
        <v>0.18839400000000001</v>
      </c>
      <c r="AB83" s="87">
        <f>TRUNC(IF(OR([T]="CV",[T]="VV"),     N83*SETUP!$H$3,     0),2)</f>
        <v>0.09</v>
      </c>
      <c r="AC83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83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0.191603</v>
      </c>
      <c r="AE83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0.18839400000000001</v>
      </c>
      <c r="AF83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-32.089999999999897</v>
      </c>
      <c r="AG83" s="87">
        <f>IF([LUCRO TMP] &lt;&gt; 0, [LUCRO TMP] - SUMPRODUCT(N([ATIVO]=NC[[#This Row],[ATIVO]]),N(['[D/N']]="N"),N([ID]&lt;NC[[#This Row],[ID]]),N([PAR]=NC[[#This Row],[PAR]]), [LUCRO TMP]), 0)</f>
        <v>-32.089999999999897</v>
      </c>
      <c r="AH83" s="87">
        <f>IF([U] = "U", SUMPRODUCT(N([ID]&lt;=NC[[#This Row],[ID]]),N([DATA BASE]=NC[[#This Row],[DATA BASE]]), N(['[D/N']] = "N"),    [LUCRO P/ OP]), 0)</f>
        <v>0</v>
      </c>
      <c r="AI83" s="87">
        <f>IF([U] = "U", SUMPRODUCT(N([DATA BASE]=NC[[#This Row],[DATA BASE]]), N(['[D/N']] = "D"),    [LUCRO P/ OP]), 0)</f>
        <v>0</v>
      </c>
      <c r="AJ83" s="87">
        <f>IF([U] = "U", SUMPRODUCT(N([DATA BASE]=NC[[#This Row],[DATA BASE]]), N(['[D/N']] = "D"),    [IRRF FONTE]), 0)</f>
        <v>0</v>
      </c>
      <c r="AK83" s="143">
        <f>NC[[#This Row],[LÍQUIDO]]/NC[[#This Row],[QTDE]]</f>
        <v>-3.2090000000000005E-3</v>
      </c>
    </row>
    <row r="84" spans="1:37">
      <c r="A84" s="13">
        <v>83</v>
      </c>
      <c r="B84" s="85"/>
      <c r="C84" s="85" t="s">
        <v>140</v>
      </c>
      <c r="D84" s="85" t="s">
        <v>24</v>
      </c>
      <c r="E84" s="86">
        <v>41129</v>
      </c>
      <c r="F84" s="85">
        <v>9300</v>
      </c>
      <c r="G84" s="87">
        <v>0.21</v>
      </c>
      <c r="H84" s="96"/>
      <c r="I84" s="97"/>
      <c r="J84" s="85" t="s">
        <v>14</v>
      </c>
      <c r="K84" s="86">
        <f>WORKDAY(NC[[#This Row],[DATA]],1,0)</f>
        <v>41130</v>
      </c>
      <c r="L84" s="88">
        <f>EOMONTH(NC[[#This Row],[DATA DE LIQUIDAÇÃO]],0)</f>
        <v>41152</v>
      </c>
      <c r="M84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84" s="87">
        <f>[QTDE]*[PREÇO]</f>
        <v>1953</v>
      </c>
      <c r="O84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-1953</v>
      </c>
      <c r="P84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1.03</v>
      </c>
      <c r="Q84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0.69</v>
      </c>
      <c r="R84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0.86</v>
      </c>
      <c r="S84" s="87">
        <f>SETUP!$E$3 * IF([PARCIAL] &gt; 0, [QTDE] / [PARCIAL], 1)</f>
        <v>14.9</v>
      </c>
      <c r="T84" s="87">
        <f>SUMPRODUCT(N([DATA]=NC[[#This Row],[DATA]]),N([ID]&lt;=NC[[#This Row],[ID]]), [CORR])</f>
        <v>44.7</v>
      </c>
      <c r="U84" s="87">
        <f>TRUNC([CORRETAGEM]*SETUP!$F$3,2)</f>
        <v>0.89</v>
      </c>
      <c r="V84" s="87">
        <f>ROUND([CORRETAGEM]*SETUP!$G$3,2)</f>
        <v>1.74</v>
      </c>
      <c r="W84" s="87">
        <f>[VALOR LÍQUIDO DAS OPERAÇÕES]-[TAXA DE LIQUIDAÇÃO]-[EMOLUMENTOS]-[TAXA DE REGISTRO]-[CORRETAGEM]-[ISS]-IF(['[D/N']]="D",    0,    [OUTRAS BOVESPA]) - [AJUSTE]</f>
        <v>-2001.17</v>
      </c>
      <c r="X84" s="87">
        <f>IF(AND(['[D/N']]="D",    [T]="CV",    [LÍQUIDO BASE] &gt; 0),    TRUNC([LÍQUIDO BASE]*0.01, 2),    0)</f>
        <v>0</v>
      </c>
      <c r="Y84" s="15">
        <f>IF([PREÇO] &gt; 0,    [LÍQUIDO BASE]-SUMPRODUCT(N([DATA]=NC[[#This Row],[DATA]]),    [IRRF FONTE]),    0)</f>
        <v>-2001.17</v>
      </c>
      <c r="Z84" s="89">
        <f>[LÍQUIDO]-SUMPRODUCT(N([DATA]=NC[[#This Row],[DATA]]),N([ID]=(NC[[#This Row],[ID]]-1)),[LÍQUIDO])</f>
        <v>-1969.0800000000002</v>
      </c>
      <c r="AA84" s="87">
        <f>IF([T] = "VC", ABS([VALOR OP]) / [QTDE], [VALOR OP]/[QTDE])</f>
        <v>-0.21172903225806453</v>
      </c>
      <c r="AB84" s="87">
        <f>TRUNC(IF(OR([T]="CV",[T]="VV"),     N84*SETUP!$H$3,     0),2)</f>
        <v>0</v>
      </c>
      <c r="AC84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84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0.21172903225806453</v>
      </c>
      <c r="AE84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84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84" s="87">
        <f>IF([LUCRO TMP] &lt;&gt; 0, [LUCRO TMP] - SUMPRODUCT(N([ATIVO]=NC[[#This Row],[ATIVO]]),N(['[D/N']]="N"),N([ID]&lt;NC[[#This Row],[ID]]),N([PAR]=NC[[#This Row],[PAR]]), [LUCRO TMP]), 0)</f>
        <v>0</v>
      </c>
      <c r="AH84" s="87">
        <f>IF([U] = "U", SUMPRODUCT(N([ID]&lt;=NC[[#This Row],[ID]]),N([DATA BASE]=NC[[#This Row],[DATA BASE]]), N(['[D/N']] = "N"),    [LUCRO P/ OP]), 0)</f>
        <v>0</v>
      </c>
      <c r="AI84" s="87">
        <f>IF([U] = "U", SUMPRODUCT(N([DATA BASE]=NC[[#This Row],[DATA BASE]]), N(['[D/N']] = "D"),    [LUCRO P/ OP]), 0)</f>
        <v>0</v>
      </c>
      <c r="AJ84" s="87">
        <f>IF([U] = "U", SUMPRODUCT(N([DATA BASE]=NC[[#This Row],[DATA BASE]]), N(['[D/N']] = "D"),    [IRRF FONTE]), 0)</f>
        <v>0</v>
      </c>
      <c r="AK84" s="143">
        <f>NC[[#This Row],[LÍQUIDO]]/NC[[#This Row],[QTDE]]</f>
        <v>-0.21517956989247314</v>
      </c>
    </row>
    <row r="85" spans="1:37">
      <c r="A85" s="13">
        <v>84</v>
      </c>
      <c r="B85" s="85"/>
      <c r="C85" s="85" t="s">
        <v>140</v>
      </c>
      <c r="D85" s="85" t="s">
        <v>25</v>
      </c>
      <c r="E85" s="86">
        <v>41129</v>
      </c>
      <c r="F85" s="85">
        <v>9300</v>
      </c>
      <c r="G85" s="87">
        <v>0.2</v>
      </c>
      <c r="H85" s="96"/>
      <c r="I85" s="97"/>
      <c r="J85" s="85" t="s">
        <v>14</v>
      </c>
      <c r="K85" s="86">
        <f>WORKDAY(NC[[#This Row],[DATA]],1,0)</f>
        <v>41130</v>
      </c>
      <c r="L85" s="88">
        <f>EOMONTH(NC[[#This Row],[DATA DE LIQUIDAÇÃO]],0)</f>
        <v>41152</v>
      </c>
      <c r="M85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85" s="87">
        <f>[QTDE]*[PREÇO]</f>
        <v>1860</v>
      </c>
      <c r="O85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-93</v>
      </c>
      <c r="P85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1.37</v>
      </c>
      <c r="Q85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0.91</v>
      </c>
      <c r="R85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1.1399999999999999</v>
      </c>
      <c r="S85" s="87">
        <f>SETUP!$E$3 * IF([PARCIAL] &gt; 0, [QTDE] / [PARCIAL], 1)</f>
        <v>14.9</v>
      </c>
      <c r="T85" s="87">
        <f>SUMPRODUCT(N([DATA]=NC[[#This Row],[DATA]]),N([ID]&lt;=NC[[#This Row],[ID]]), [CORR])</f>
        <v>59.6</v>
      </c>
      <c r="U85" s="87">
        <f>TRUNC([CORRETAGEM]*SETUP!$F$3,2)</f>
        <v>1.19</v>
      </c>
      <c r="V85" s="87">
        <f>ROUND([CORRETAGEM]*SETUP!$G$3,2)</f>
        <v>2.3199999999999998</v>
      </c>
      <c r="W85" s="87">
        <f>[VALOR LÍQUIDO DAS OPERAÇÕES]-[TAXA DE LIQUIDAÇÃO]-[EMOLUMENTOS]-[TAXA DE REGISTRO]-[CORRETAGEM]-[ISS]-IF(['[D/N']]="D",    0,    [OUTRAS BOVESPA]) - [AJUSTE]</f>
        <v>-157.21</v>
      </c>
      <c r="X85" s="87">
        <f>IF(AND(['[D/N']]="D",    [T]="CV",    [LÍQUIDO BASE] &gt; 0),    TRUNC([LÍQUIDO BASE]*0.01, 2),    0)</f>
        <v>0</v>
      </c>
      <c r="Y85" s="15">
        <f>IF([PREÇO] &gt; 0,    [LÍQUIDO BASE]-SUMPRODUCT(N([DATA]=NC[[#This Row],[DATA]]),    [IRRF FONTE]),    0)</f>
        <v>-157.21</v>
      </c>
      <c r="Z85" s="89">
        <f>[LÍQUIDO]-SUMPRODUCT(N([DATA]=NC[[#This Row],[DATA]]),N([ID]=(NC[[#This Row],[ID]]-1)),[LÍQUIDO])</f>
        <v>1843.96</v>
      </c>
      <c r="AA85" s="87">
        <f>IF([T] = "VC", ABS([VALOR OP]) / [QTDE], [VALOR OP]/[QTDE])</f>
        <v>0.19827526881720431</v>
      </c>
      <c r="AB85" s="87">
        <f>TRUNC(IF(OR([T]="CV",[T]="VV"),     N85*SETUP!$H$3,     0),2)</f>
        <v>0.09</v>
      </c>
      <c r="AC85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85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0.21172903225806453</v>
      </c>
      <c r="AE85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0.19827526881720431</v>
      </c>
      <c r="AF85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-125.12000000000002</v>
      </c>
      <c r="AG85" s="87">
        <f>IF([LUCRO TMP] &lt;&gt; 0, [LUCRO TMP] - SUMPRODUCT(N([ATIVO]=NC[[#This Row],[ATIVO]]),N(['[D/N']]="N"),N([ID]&lt;NC[[#This Row],[ID]]),N([PAR]=NC[[#This Row],[PAR]]), [LUCRO TMP]), 0)</f>
        <v>-125.12000000000002</v>
      </c>
      <c r="AH85" s="87">
        <f>IF([U] = "U", SUMPRODUCT(N([ID]&lt;=NC[[#This Row],[ID]]),N([DATA BASE]=NC[[#This Row],[DATA BASE]]), N(['[D/N']] = "N"),    [LUCRO P/ OP]), 0)</f>
        <v>0</v>
      </c>
      <c r="AI85" s="87">
        <f>IF([U] = "U", SUMPRODUCT(N([DATA BASE]=NC[[#This Row],[DATA BASE]]), N(['[D/N']] = "D"),    [LUCRO P/ OP]), 0)</f>
        <v>0</v>
      </c>
      <c r="AJ85" s="87">
        <f>IF([U] = "U", SUMPRODUCT(N([DATA BASE]=NC[[#This Row],[DATA BASE]]), N(['[D/N']] = "D"),    [IRRF FONTE]), 0)</f>
        <v>0</v>
      </c>
      <c r="AK85" s="143">
        <f>NC[[#This Row],[LÍQUIDO]]/NC[[#This Row],[QTDE]]</f>
        <v>-1.6904301075268819E-2</v>
      </c>
    </row>
    <row r="86" spans="1:37">
      <c r="A86" s="13">
        <v>85</v>
      </c>
      <c r="B86" s="85"/>
      <c r="C86" s="85" t="s">
        <v>141</v>
      </c>
      <c r="D86" s="85" t="s">
        <v>24</v>
      </c>
      <c r="E86" s="86">
        <v>41129</v>
      </c>
      <c r="F86" s="85">
        <v>8500</v>
      </c>
      <c r="G86" s="87">
        <v>0.22</v>
      </c>
      <c r="H86" s="96"/>
      <c r="I86" s="97">
        <v>-0.02</v>
      </c>
      <c r="J86" s="85" t="s">
        <v>6</v>
      </c>
      <c r="K86" s="86">
        <f>WORKDAY(NC[[#This Row],[DATA]],1,0)</f>
        <v>41130</v>
      </c>
      <c r="L86" s="88">
        <f>EOMONTH(NC[[#This Row],[DATA DE LIQUIDAÇÃO]],0)</f>
        <v>41152</v>
      </c>
      <c r="M86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86" s="87">
        <f>[QTDE]*[PREÇO]</f>
        <v>1870</v>
      </c>
      <c r="O86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-1963</v>
      </c>
      <c r="P86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1.88</v>
      </c>
      <c r="Q86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1.6</v>
      </c>
      <c r="R86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2.44</v>
      </c>
      <c r="S86" s="87">
        <f>SETUP!$E$3 * IF([PARCIAL] &gt; 0, [QTDE] / [PARCIAL], 1)</f>
        <v>14.9</v>
      </c>
      <c r="T86" s="87">
        <f>SUMPRODUCT(N([DATA]=NC[[#This Row],[DATA]]),N([ID]&lt;=NC[[#This Row],[ID]]), [CORR])</f>
        <v>74.5</v>
      </c>
      <c r="U86" s="87">
        <f>TRUNC([CORRETAGEM]*SETUP!$F$3,2)</f>
        <v>1.49</v>
      </c>
      <c r="V86" s="87">
        <f>ROUND([CORRETAGEM]*SETUP!$G$3,2)</f>
        <v>2.91</v>
      </c>
      <c r="W86" s="87">
        <f>[VALOR LÍQUIDO DAS OPERAÇÕES]-[TAXA DE LIQUIDAÇÃO]-[EMOLUMENTOS]-[TAXA DE REGISTRO]-[CORRETAGEM]-[ISS]-IF(['[D/N']]="D",    0,    [OUTRAS BOVESPA]) - [AJUSTE]</f>
        <v>-2047.8000000000002</v>
      </c>
      <c r="X86" s="87">
        <f>IF(AND(['[D/N']]="D",    [T]="CV",    [LÍQUIDO BASE] &gt; 0),    TRUNC([LÍQUIDO BASE]*0.01, 2),    0)</f>
        <v>0</v>
      </c>
      <c r="Y86" s="15">
        <f>IF([PREÇO] &gt; 0,    [LÍQUIDO BASE]-SUMPRODUCT(N([DATA]=NC[[#This Row],[DATA]]),    [IRRF FONTE]),    0)</f>
        <v>-2047.8000000000002</v>
      </c>
      <c r="Z86" s="89">
        <f>[LÍQUIDO]-SUMPRODUCT(N([DATA]=NC[[#This Row],[DATA]]),N([ID]=(NC[[#This Row],[ID]]-1)),[LÍQUIDO])</f>
        <v>-1890.5900000000001</v>
      </c>
      <c r="AA86" s="87">
        <f>IF([T] = "VC", ABS([VALOR OP]) / [QTDE], [VALOR OP]/[QTDE])</f>
        <v>-0.22242235294117649</v>
      </c>
      <c r="AB86" s="87">
        <f>TRUNC(IF(OR([T]="CV",[T]="VV"),     N86*SETUP!$H$3,     0),2)</f>
        <v>0</v>
      </c>
      <c r="AC86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8500</v>
      </c>
      <c r="AD86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0.22242235294117649</v>
      </c>
      <c r="AE86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86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86" s="87">
        <f>IF([LUCRO TMP] &lt;&gt; 0, [LUCRO TMP] - SUMPRODUCT(N([ATIVO]=NC[[#This Row],[ATIVO]]),N(['[D/N']]="N"),N([ID]&lt;NC[[#This Row],[ID]]),N([PAR]=NC[[#This Row],[PAR]]), [LUCRO TMP]), 0)</f>
        <v>0</v>
      </c>
      <c r="AH86" s="87">
        <f>IF([U] = "U", SUMPRODUCT(N([ID]&lt;=NC[[#This Row],[ID]]),N([DATA BASE]=NC[[#This Row],[DATA BASE]]), N(['[D/N']] = "N"),    [LUCRO P/ OP]), 0)</f>
        <v>0</v>
      </c>
      <c r="AI86" s="87">
        <f>IF([U] = "U", SUMPRODUCT(N([DATA BASE]=NC[[#This Row],[DATA BASE]]), N(['[D/N']] = "D"),    [LUCRO P/ OP]), 0)</f>
        <v>0</v>
      </c>
      <c r="AJ86" s="87">
        <f>IF([U] = "U", SUMPRODUCT(N([DATA BASE]=NC[[#This Row],[DATA BASE]]), N(['[D/N']] = "D"),    [IRRF FONTE]), 0)</f>
        <v>0</v>
      </c>
      <c r="AK86" s="143">
        <f>NC[[#This Row],[LÍQUIDO]]/NC[[#This Row],[QTDE]]</f>
        <v>-0.24091764705882354</v>
      </c>
    </row>
    <row r="87" spans="1:37">
      <c r="A87" s="13">
        <v>86</v>
      </c>
      <c r="B87" s="85"/>
      <c r="C87" s="85" t="s">
        <v>142</v>
      </c>
      <c r="D87" s="85" t="s">
        <v>24</v>
      </c>
      <c r="E87" s="86">
        <v>41134</v>
      </c>
      <c r="F87" s="85">
        <v>1100</v>
      </c>
      <c r="G87" s="87">
        <v>0.36</v>
      </c>
      <c r="H87" s="96"/>
      <c r="I87" s="97"/>
      <c r="J87" s="85" t="s">
        <v>6</v>
      </c>
      <c r="K87" s="86">
        <f>WORKDAY(NC[[#This Row],[DATA]],1,0)</f>
        <v>41135</v>
      </c>
      <c r="L87" s="88">
        <f>EOMONTH(NC[[#This Row],[DATA DE LIQUIDAÇÃO]],0)</f>
        <v>41152</v>
      </c>
      <c r="M87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87" s="87">
        <f>[QTDE]*[PREÇO]</f>
        <v>396</v>
      </c>
      <c r="O87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-396</v>
      </c>
      <c r="P87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</v>
      </c>
      <c r="Q87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0.14000000000000001</v>
      </c>
      <c r="R87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0.27</v>
      </c>
      <c r="S87" s="87">
        <f>SETUP!$E$3 * IF([PARCIAL] &gt; 0, [QTDE] / [PARCIAL], 1)</f>
        <v>14.9</v>
      </c>
      <c r="T87" s="87">
        <f>SUMPRODUCT(N([DATA]=NC[[#This Row],[DATA]]),N([ID]&lt;=NC[[#This Row],[ID]]), [CORR])</f>
        <v>14.9</v>
      </c>
      <c r="U87" s="87">
        <f>TRUNC([CORRETAGEM]*SETUP!$F$3,2)</f>
        <v>0.28999999999999998</v>
      </c>
      <c r="V87" s="87">
        <f>ROUND([CORRETAGEM]*SETUP!$G$3,2)</f>
        <v>0.57999999999999996</v>
      </c>
      <c r="W87" s="87">
        <f>[VALOR LÍQUIDO DAS OPERAÇÕES]-[TAXA DE LIQUIDAÇÃO]-[EMOLUMENTOS]-[TAXA DE REGISTRO]-[CORRETAGEM]-[ISS]-IF(['[D/N']]="D",    0,    [OUTRAS BOVESPA]) - [AJUSTE]</f>
        <v>-412.28</v>
      </c>
      <c r="X87" s="87">
        <f>IF(AND(['[D/N']]="D",    [T]="CV",    [LÍQUIDO BASE] &gt; 0),    TRUNC([LÍQUIDO BASE]*0.01, 2),    0)</f>
        <v>0</v>
      </c>
      <c r="Y87" s="15">
        <f>IF([PREÇO] &gt; 0,    [LÍQUIDO BASE]-SUMPRODUCT(N([DATA]=NC[[#This Row],[DATA]]),    [IRRF FONTE]),    0)</f>
        <v>-412.28</v>
      </c>
      <c r="Z87" s="89">
        <f>[LÍQUIDO]-SUMPRODUCT(N([DATA]=NC[[#This Row],[DATA]]),N([ID]=(NC[[#This Row],[ID]]-1)),[LÍQUIDO])</f>
        <v>-412.28</v>
      </c>
      <c r="AA87" s="87">
        <f>IF([T] = "VC", ABS([VALOR OP]) / [QTDE], [VALOR OP]/[QTDE])</f>
        <v>-0.37479999999999997</v>
      </c>
      <c r="AB87" s="87">
        <f>TRUNC(IF(OR([T]="CV",[T]="VV"),     N87*SETUP!$H$3,     0),2)</f>
        <v>0</v>
      </c>
      <c r="AC87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1100</v>
      </c>
      <c r="AD87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0.37479999999999997</v>
      </c>
      <c r="AE87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87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87" s="87">
        <f>IF([LUCRO TMP] &lt;&gt; 0, [LUCRO TMP] - SUMPRODUCT(N([ATIVO]=NC[[#This Row],[ATIVO]]),N(['[D/N']]="N"),N([ID]&lt;NC[[#This Row],[ID]]),N([PAR]=NC[[#This Row],[PAR]]), [LUCRO TMP]), 0)</f>
        <v>0</v>
      </c>
      <c r="AH87" s="87">
        <f>IF([U] = "U", SUMPRODUCT(N([ID]&lt;=NC[[#This Row],[ID]]),N([DATA BASE]=NC[[#This Row],[DATA BASE]]), N(['[D/N']] = "N"),    [LUCRO P/ OP]), 0)</f>
        <v>0</v>
      </c>
      <c r="AI87" s="87">
        <f>IF([U] = "U", SUMPRODUCT(N([DATA BASE]=NC[[#This Row],[DATA BASE]]), N(['[D/N']] = "D"),    [LUCRO P/ OP]), 0)</f>
        <v>0</v>
      </c>
      <c r="AJ87" s="87">
        <f>IF([U] = "U", SUMPRODUCT(N([DATA BASE]=NC[[#This Row],[DATA BASE]]), N(['[D/N']] = "D"),    [IRRF FONTE]), 0)</f>
        <v>0</v>
      </c>
      <c r="AK87" s="143">
        <f>NC[[#This Row],[LÍQUIDO]]/NC[[#This Row],[QTDE]]</f>
        <v>-0.37479999999999997</v>
      </c>
    </row>
    <row r="88" spans="1:37">
      <c r="A88" s="13">
        <v>87</v>
      </c>
      <c r="B88" s="85"/>
      <c r="C88" s="85" t="s">
        <v>141</v>
      </c>
      <c r="D88" s="85" t="s">
        <v>25</v>
      </c>
      <c r="E88" s="86">
        <v>41138</v>
      </c>
      <c r="F88" s="85">
        <v>8500</v>
      </c>
      <c r="G88" s="87">
        <v>0.03</v>
      </c>
      <c r="H88" s="96"/>
      <c r="I88" s="97">
        <v>0</v>
      </c>
      <c r="J88" s="85" t="s">
        <v>6</v>
      </c>
      <c r="K88" s="86">
        <f>WORKDAY(NC[[#This Row],[DATA]],1,0)</f>
        <v>41141</v>
      </c>
      <c r="L88" s="88">
        <f>EOMONTH(NC[[#This Row],[DATA DE LIQUIDAÇÃO]],0)</f>
        <v>41152</v>
      </c>
      <c r="M88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88" s="87">
        <f>[QTDE]*[PREÇO]</f>
        <v>255</v>
      </c>
      <c r="O88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255</v>
      </c>
      <c r="P88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7.0000000000000007E-2</v>
      </c>
      <c r="Q88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0.09</v>
      </c>
      <c r="R88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0.17</v>
      </c>
      <c r="S88" s="87">
        <f>SETUP!$E$3 * IF([PARCIAL] &gt; 0, [QTDE] / [PARCIAL], 1)</f>
        <v>14.9</v>
      </c>
      <c r="T88" s="87">
        <f>SUMPRODUCT(N([DATA]=NC[[#This Row],[DATA]]),N([ID]&lt;=NC[[#This Row],[ID]]), [CORR])</f>
        <v>14.9</v>
      </c>
      <c r="U88" s="87">
        <f>TRUNC([CORRETAGEM]*SETUP!$F$3,2)</f>
        <v>0.28999999999999998</v>
      </c>
      <c r="V88" s="87">
        <f>ROUND([CORRETAGEM]*SETUP!$G$3,2)</f>
        <v>0.57999999999999996</v>
      </c>
      <c r="W88" s="87">
        <f>[VALOR LÍQUIDO DAS OPERAÇÕES]-[TAXA DE LIQUIDAÇÃO]-[EMOLUMENTOS]-[TAXA DE REGISTRO]-[CORRETAGEM]-[ISS]-IF(['[D/N']]="D",    0,    [OUTRAS BOVESPA]) - [AJUSTE]</f>
        <v>238.9</v>
      </c>
      <c r="X88" s="87">
        <f>IF(AND(['[D/N']]="D",    [T]="CV",    [LÍQUIDO BASE] &gt; 0),    TRUNC([LÍQUIDO BASE]*0.01, 2),    0)</f>
        <v>0</v>
      </c>
      <c r="Y88" s="15">
        <f>IF([PREÇO] &gt; 0,    [LÍQUIDO BASE]-SUMPRODUCT(N([DATA]=NC[[#This Row],[DATA]]),    [IRRF FONTE]),    0)</f>
        <v>238.9</v>
      </c>
      <c r="Z88" s="89">
        <f>[LÍQUIDO]-SUMPRODUCT(N([DATA]=NC[[#This Row],[DATA]]),N([ID]=(NC[[#This Row],[ID]]-1)),[LÍQUIDO])</f>
        <v>238.9</v>
      </c>
      <c r="AA88" s="87">
        <f>IF([T] = "VC", ABS([VALOR OP]) / [QTDE], [VALOR OP]/[QTDE])</f>
        <v>2.8105882352941178E-2</v>
      </c>
      <c r="AB88" s="87">
        <f>TRUNC(IF(OR([T]="CV",[T]="VV"),     N88*SETUP!$H$3,     0),2)</f>
        <v>0.01</v>
      </c>
      <c r="AC88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88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0.22242235294117649</v>
      </c>
      <c r="AE88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2.8105882352941178E-2</v>
      </c>
      <c r="AF88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-1651.69</v>
      </c>
      <c r="AG88" s="87">
        <f>IF([LUCRO TMP] &lt;&gt; 0, [LUCRO TMP] - SUMPRODUCT(N([ATIVO]=NC[[#This Row],[ATIVO]]),N(['[D/N']]="N"),N([ID]&lt;NC[[#This Row],[ID]]),N([PAR]=NC[[#This Row],[PAR]]), [LUCRO TMP]), 0)</f>
        <v>-1651.69</v>
      </c>
      <c r="AH88" s="87">
        <f>IF([U] = "U", SUMPRODUCT(N([ID]&lt;=NC[[#This Row],[ID]]),N([DATA BASE]=NC[[#This Row],[DATA BASE]]), N(['[D/N']] = "N"),    [LUCRO P/ OP]), 0)</f>
        <v>0</v>
      </c>
      <c r="AI88" s="87">
        <f>IF([U] = "U", SUMPRODUCT(N([DATA BASE]=NC[[#This Row],[DATA BASE]]), N(['[D/N']] = "D"),    [LUCRO P/ OP]), 0)</f>
        <v>0</v>
      </c>
      <c r="AJ88" s="87">
        <f>IF([U] = "U", SUMPRODUCT(N([DATA BASE]=NC[[#This Row],[DATA BASE]]), N(['[D/N']] = "D"),    [IRRF FONTE]), 0)</f>
        <v>0</v>
      </c>
      <c r="AK88" s="143">
        <f>NC[[#This Row],[LÍQUIDO]]/NC[[#This Row],[QTDE]]</f>
        <v>2.8105882352941178E-2</v>
      </c>
    </row>
    <row r="89" spans="1:37">
      <c r="A89" s="13">
        <v>88</v>
      </c>
      <c r="B89" s="85" t="s">
        <v>49</v>
      </c>
      <c r="C89" s="85" t="s">
        <v>142</v>
      </c>
      <c r="D89" s="85" t="s">
        <v>25</v>
      </c>
      <c r="E89" s="86">
        <v>41141</v>
      </c>
      <c r="F89" s="85">
        <v>1100</v>
      </c>
      <c r="G89" s="87">
        <v>0</v>
      </c>
      <c r="H89" s="96"/>
      <c r="I89" s="97"/>
      <c r="J89" s="85" t="s">
        <v>6</v>
      </c>
      <c r="K89" s="86">
        <f>WORKDAY(NC[[#This Row],[DATA]],1,0)</f>
        <v>41142</v>
      </c>
      <c r="L89" s="88">
        <f>EOMONTH(NC[[#This Row],[DATA DE LIQUIDAÇÃO]],0)</f>
        <v>41152</v>
      </c>
      <c r="M89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89" s="87">
        <f>[QTDE]*[PREÇO]</f>
        <v>0</v>
      </c>
      <c r="O89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89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89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89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89" s="87">
        <f>SETUP!$E$3 * IF([PARCIAL] &gt; 0, [QTDE] / [PARCIAL], 1)</f>
        <v>14.9</v>
      </c>
      <c r="T89" s="87">
        <f>SUMPRODUCT(N([DATA]=NC[[#This Row],[DATA]]),N([ID]&lt;=NC[[#This Row],[ID]]), [CORR])</f>
        <v>14.9</v>
      </c>
      <c r="U89" s="87">
        <f>TRUNC([CORRETAGEM]*SETUP!$F$3,2)</f>
        <v>0.28999999999999998</v>
      </c>
      <c r="V89" s="87">
        <f>ROUND([CORRETAGEM]*SETUP!$G$3,2)</f>
        <v>0.57999999999999996</v>
      </c>
      <c r="W89" s="87">
        <f>[VALOR LÍQUIDO DAS OPERAÇÕES]-[TAXA DE LIQUIDAÇÃO]-[EMOLUMENTOS]-[TAXA DE REGISTRO]-[CORRETAGEM]-[ISS]-IF(['[D/N']]="D",    0,    [OUTRAS BOVESPA]) - [AJUSTE]</f>
        <v>-15.77</v>
      </c>
      <c r="X89" s="87">
        <f>IF(AND(['[D/N']]="D",    [T]="CV",    [LÍQUIDO BASE] &gt; 0),    TRUNC([LÍQUIDO BASE]*0.01, 2),    0)</f>
        <v>0</v>
      </c>
      <c r="Y89" s="15">
        <f>IF([PREÇO] &gt; 0,    [LÍQUIDO BASE]-SUMPRODUCT(N([DATA]=NC[[#This Row],[DATA]]),    [IRRF FONTE]),    0)</f>
        <v>0</v>
      </c>
      <c r="Z89" s="89">
        <f>[LÍQUIDO]-SUMPRODUCT(N([DATA]=NC[[#This Row],[DATA]]),N([ID]=(NC[[#This Row],[ID]]-1)),[LÍQUIDO])</f>
        <v>0</v>
      </c>
      <c r="AA89" s="87">
        <f>IF([T] = "VC", ABS([VALOR OP]) / [QTDE], [VALOR OP]/[QTDE])</f>
        <v>0</v>
      </c>
      <c r="AB89" s="87">
        <f>TRUNC(IF(OR([T]="CV",[T]="VV"),     N89*SETUP!$H$3,     0),2)</f>
        <v>0</v>
      </c>
      <c r="AC89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89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0.37479999999999997</v>
      </c>
      <c r="AE89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89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-412.28</v>
      </c>
      <c r="AG89" s="87">
        <f>IF([LUCRO TMP] &lt;&gt; 0, [LUCRO TMP] - SUMPRODUCT(N([ATIVO]=NC[[#This Row],[ATIVO]]),N(['[D/N']]="N"),N([ID]&lt;NC[[#This Row],[ID]]),N([PAR]=NC[[#This Row],[PAR]]), [LUCRO TMP]), 0)</f>
        <v>-412.28</v>
      </c>
      <c r="AH89" s="87">
        <f>IF([U] = "U", SUMPRODUCT(N([ID]&lt;=NC[[#This Row],[ID]]),N([DATA BASE]=NC[[#This Row],[DATA BASE]]), N(['[D/N']] = "N"),    [LUCRO P/ OP]), 0)</f>
        <v>-2063.9700000000003</v>
      </c>
      <c r="AI89" s="87">
        <f>IF([U] = "U", SUMPRODUCT(N([DATA BASE]=NC[[#This Row],[DATA BASE]]), N(['[D/N']] = "D"),    [LUCRO P/ OP]), 0)</f>
        <v>-652.46999999999991</v>
      </c>
      <c r="AJ89" s="87">
        <f>IF([U] = "U", SUMPRODUCT(N([DATA BASE]=NC[[#This Row],[DATA BASE]]), N(['[D/N']] = "D"),    [IRRF FONTE]), 0)</f>
        <v>0</v>
      </c>
      <c r="AK89" s="143">
        <f>NC[[#This Row],[LÍQUIDO]]/NC[[#This Row],[QTDE]]</f>
        <v>0</v>
      </c>
    </row>
    <row r="90" spans="1:37">
      <c r="A90" s="13">
        <v>89</v>
      </c>
      <c r="B90" s="85"/>
      <c r="C90" s="85" t="s">
        <v>143</v>
      </c>
      <c r="D90" s="85" t="s">
        <v>24</v>
      </c>
      <c r="E90" s="86">
        <v>41143</v>
      </c>
      <c r="F90" s="85">
        <v>400</v>
      </c>
      <c r="G90" s="87">
        <v>0.52</v>
      </c>
      <c r="H90" s="96"/>
      <c r="I90" s="97"/>
      <c r="J90" s="85" t="s">
        <v>6</v>
      </c>
      <c r="K90" s="86">
        <f>WORKDAY(NC[[#This Row],[DATA]],1,0)</f>
        <v>41144</v>
      </c>
      <c r="L90" s="88">
        <f>EOMONTH(NC[[#This Row],[DATA DE LIQUIDAÇÃO]],0)</f>
        <v>41152</v>
      </c>
      <c r="M90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90" s="87">
        <f>[QTDE]*[PREÇO]</f>
        <v>208</v>
      </c>
      <c r="O90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-208</v>
      </c>
      <c r="P90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0.05</v>
      </c>
      <c r="Q90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7.0000000000000007E-2</v>
      </c>
      <c r="R90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0.14000000000000001</v>
      </c>
      <c r="S90" s="87">
        <f>SETUP!$E$3 * IF([PARCIAL] &gt; 0, [QTDE] / [PARCIAL], 1)</f>
        <v>14.9</v>
      </c>
      <c r="T90" s="87">
        <f>SUMPRODUCT(N([DATA]=NC[[#This Row],[DATA]]),N([ID]&lt;=NC[[#This Row],[ID]]), [CORR])</f>
        <v>14.9</v>
      </c>
      <c r="U90" s="87">
        <f>TRUNC([CORRETAGEM]*SETUP!$F$3,2)</f>
        <v>0.28999999999999998</v>
      </c>
      <c r="V90" s="87">
        <f>ROUND([CORRETAGEM]*SETUP!$G$3,2)</f>
        <v>0.57999999999999996</v>
      </c>
      <c r="W90" s="87">
        <f>[VALOR LÍQUIDO DAS OPERAÇÕES]-[TAXA DE LIQUIDAÇÃO]-[EMOLUMENTOS]-[TAXA DE REGISTRO]-[CORRETAGEM]-[ISS]-IF(['[D/N']]="D",    0,    [OUTRAS BOVESPA]) - [AJUSTE]</f>
        <v>-224.03</v>
      </c>
      <c r="X90" s="87">
        <f>IF(AND(['[D/N']]="D",    [T]="CV",    [LÍQUIDO BASE] &gt; 0),    TRUNC([LÍQUIDO BASE]*0.01, 2),    0)</f>
        <v>0</v>
      </c>
      <c r="Y90" s="15">
        <f>IF([PREÇO] &gt; 0,    [LÍQUIDO BASE]-SUMPRODUCT(N([DATA]=NC[[#This Row],[DATA]]),    [IRRF FONTE]),    0)</f>
        <v>-224.03</v>
      </c>
      <c r="Z90" s="89">
        <f>[LÍQUIDO]-SUMPRODUCT(N([DATA]=NC[[#This Row],[DATA]]),N([ID]=(NC[[#This Row],[ID]]-1)),[LÍQUIDO])</f>
        <v>-224.03</v>
      </c>
      <c r="AA90" s="87">
        <f>IF([T] = "VC", ABS([VALOR OP]) / [QTDE], [VALOR OP]/[QTDE])</f>
        <v>-0.56007499999999999</v>
      </c>
      <c r="AB90" s="87">
        <f>TRUNC(IF(OR([T]="CV",[T]="VV"),     N90*SETUP!$H$3,     0),2)</f>
        <v>0</v>
      </c>
      <c r="AC90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400</v>
      </c>
      <c r="AD90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0.56007499999999999</v>
      </c>
      <c r="AE90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90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90" s="87">
        <f>IF([LUCRO TMP] &lt;&gt; 0, [LUCRO TMP] - SUMPRODUCT(N([ATIVO]=NC[[#This Row],[ATIVO]]),N(['[D/N']]="N"),N([ID]&lt;NC[[#This Row],[ID]]),N([PAR]=NC[[#This Row],[PAR]]), [LUCRO TMP]), 0)</f>
        <v>0</v>
      </c>
      <c r="AH90" s="87">
        <f>IF([U] = "U", SUMPRODUCT(N([ID]&lt;=NC[[#This Row],[ID]]),N([DATA BASE]=NC[[#This Row],[DATA BASE]]), N(['[D/N']] = "N"),    [LUCRO P/ OP]), 0)</f>
        <v>0</v>
      </c>
      <c r="AI90" s="87">
        <f>IF([U] = "U", SUMPRODUCT(N([DATA BASE]=NC[[#This Row],[DATA BASE]]), N(['[D/N']] = "D"),    [LUCRO P/ OP]), 0)</f>
        <v>0</v>
      </c>
      <c r="AJ90" s="87">
        <f>IF([U] = "U", SUMPRODUCT(N([DATA BASE]=NC[[#This Row],[DATA BASE]]), N(['[D/N']] = "D"),    [IRRF FONTE]), 0)</f>
        <v>0</v>
      </c>
      <c r="AK90" s="143">
        <f>NC[[#This Row],[LÍQUIDO]]/NC[[#This Row],[QTDE]]</f>
        <v>-0.56007499999999999</v>
      </c>
    </row>
    <row r="91" spans="1:37">
      <c r="A91" s="13">
        <v>90</v>
      </c>
      <c r="B91" s="85"/>
      <c r="C91" s="85" t="s">
        <v>143</v>
      </c>
      <c r="D91" s="85" t="s">
        <v>25</v>
      </c>
      <c r="E91" s="86">
        <v>41144</v>
      </c>
      <c r="F91" s="85">
        <v>400</v>
      </c>
      <c r="G91" s="87">
        <v>0.43</v>
      </c>
      <c r="H91" s="96"/>
      <c r="I91" s="97"/>
      <c r="J91" s="85" t="s">
        <v>6</v>
      </c>
      <c r="K91" s="86">
        <f>WORKDAY(NC[[#This Row],[DATA]],1,0)</f>
        <v>41145</v>
      </c>
      <c r="L91" s="88">
        <f>EOMONTH(NC[[#This Row],[DATA DE LIQUIDAÇÃO]],0)</f>
        <v>41152</v>
      </c>
      <c r="M91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91" s="87">
        <f>[QTDE]*[PREÇO]</f>
        <v>172</v>
      </c>
      <c r="O91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172</v>
      </c>
      <c r="P91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0.04</v>
      </c>
      <c r="Q91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0.06</v>
      </c>
      <c r="R91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0.11</v>
      </c>
      <c r="S91" s="87">
        <f>SETUP!$E$3 * IF([PARCIAL] &gt; 0, [QTDE] / [PARCIAL], 1)</f>
        <v>14.9</v>
      </c>
      <c r="T91" s="87">
        <f>SUMPRODUCT(N([DATA]=NC[[#This Row],[DATA]]),N([ID]&lt;=NC[[#This Row],[ID]]), [CORR])</f>
        <v>14.9</v>
      </c>
      <c r="U91" s="87">
        <f>TRUNC([CORRETAGEM]*SETUP!$F$3,2)</f>
        <v>0.28999999999999998</v>
      </c>
      <c r="V91" s="87">
        <f>ROUND([CORRETAGEM]*SETUP!$G$3,2)</f>
        <v>0.57999999999999996</v>
      </c>
      <c r="W91" s="87">
        <f>[VALOR LÍQUIDO DAS OPERAÇÕES]-[TAXA DE LIQUIDAÇÃO]-[EMOLUMENTOS]-[TAXA DE REGISTRO]-[CORRETAGEM]-[ISS]-IF(['[D/N']]="D",    0,    [OUTRAS BOVESPA]) - [AJUSTE]</f>
        <v>156.01999999999998</v>
      </c>
      <c r="X91" s="87">
        <f>IF(AND(['[D/N']]="D",    [T]="CV",    [LÍQUIDO BASE] &gt; 0),    TRUNC([LÍQUIDO BASE]*0.01, 2),    0)</f>
        <v>0</v>
      </c>
      <c r="Y91" s="15">
        <f>IF([PREÇO] &gt; 0,    [LÍQUIDO BASE]-SUMPRODUCT(N([DATA]=NC[[#This Row],[DATA]]),    [IRRF FONTE]),    0)</f>
        <v>156.01999999999998</v>
      </c>
      <c r="Z91" s="89">
        <f>[LÍQUIDO]-SUMPRODUCT(N([DATA]=NC[[#This Row],[DATA]]),N([ID]=(NC[[#This Row],[ID]]-1)),[LÍQUIDO])</f>
        <v>156.01999999999998</v>
      </c>
      <c r="AA91" s="87">
        <f>IF([T] = "VC", ABS([VALOR OP]) / [QTDE], [VALOR OP]/[QTDE])</f>
        <v>0.39004999999999995</v>
      </c>
      <c r="AB91" s="87">
        <f>TRUNC(IF(OR([T]="CV",[T]="VV"),     N91*SETUP!$H$3,     0),2)</f>
        <v>0</v>
      </c>
      <c r="AC91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91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0.56007499999999999</v>
      </c>
      <c r="AE91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0.39004999999999995</v>
      </c>
      <c r="AF91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-68.010000000000019</v>
      </c>
      <c r="AG91" s="87">
        <f>IF([LUCRO TMP] &lt;&gt; 0, [LUCRO TMP] - SUMPRODUCT(N([ATIVO]=NC[[#This Row],[ATIVO]]),N(['[D/N']]="N"),N([ID]&lt;NC[[#This Row],[ID]]),N([PAR]=NC[[#This Row],[PAR]]), [LUCRO TMP]), 0)</f>
        <v>-68.010000000000019</v>
      </c>
      <c r="AH91" s="87">
        <f>IF([U] = "U", SUMPRODUCT(N([ID]&lt;=NC[[#This Row],[ID]]),N([DATA BASE]=NC[[#This Row],[DATA BASE]]), N(['[D/N']] = "N"),    [LUCRO P/ OP]), 0)</f>
        <v>0</v>
      </c>
      <c r="AI91" s="87">
        <f>IF([U] = "U", SUMPRODUCT(N([DATA BASE]=NC[[#This Row],[DATA BASE]]), N(['[D/N']] = "D"),    [LUCRO P/ OP]), 0)</f>
        <v>0</v>
      </c>
      <c r="AJ91" s="87">
        <f>IF([U] = "U", SUMPRODUCT(N([DATA BASE]=NC[[#This Row],[DATA BASE]]), N(['[D/N']] = "D"),    [IRRF FONTE]), 0)</f>
        <v>0</v>
      </c>
      <c r="AK91" s="143">
        <f>NC[[#This Row],[LÍQUIDO]]/NC[[#This Row],[QTDE]]</f>
        <v>0.39004999999999995</v>
      </c>
    </row>
    <row r="92" spans="1:37">
      <c r="A92" s="134">
        <v>91</v>
      </c>
      <c r="B92" s="134"/>
      <c r="C92" s="134" t="s">
        <v>177</v>
      </c>
      <c r="D92" s="134" t="s">
        <v>24</v>
      </c>
      <c r="E92" s="135">
        <v>41697</v>
      </c>
      <c r="F92" s="134">
        <v>1000</v>
      </c>
      <c r="G92" s="136">
        <v>0.47</v>
      </c>
      <c r="H92" s="137"/>
      <c r="I92" s="138"/>
      <c r="J92" s="134" t="s">
        <v>6</v>
      </c>
      <c r="K92" s="135">
        <f>WORKDAY(NC[[#This Row],[DATA]],1,0)</f>
        <v>41698</v>
      </c>
      <c r="L92" s="139">
        <f>EOMONTH(NC[[#This Row],[DATA DE LIQUIDAÇÃO]],0)</f>
        <v>41698</v>
      </c>
      <c r="M92" s="134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92" s="136">
        <f>[QTDE]*[PREÇO]</f>
        <v>470</v>
      </c>
      <c r="O92" s="136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-470</v>
      </c>
      <c r="P92" s="136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0.12</v>
      </c>
      <c r="Q92" s="136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0.17</v>
      </c>
      <c r="R92" s="136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0.32</v>
      </c>
      <c r="S92" s="136">
        <f>SETUP!$E$3 * IF([PARCIAL] &gt; 0, [QTDE] / [PARCIAL], 1)</f>
        <v>14.9</v>
      </c>
      <c r="T92" s="136">
        <f>SUMPRODUCT(N([DATA]=NC[[#This Row],[DATA]]),N([ID]&lt;=NC[[#This Row],[ID]]), [CORR])</f>
        <v>14.9</v>
      </c>
      <c r="U92" s="136">
        <f>TRUNC([CORRETAGEM]*SETUP!$F$3,2)</f>
        <v>0.28999999999999998</v>
      </c>
      <c r="V92" s="136">
        <f>ROUND([CORRETAGEM]*SETUP!$G$3,2)</f>
        <v>0.57999999999999996</v>
      </c>
      <c r="W92" s="136">
        <f>[VALOR LÍQUIDO DAS OPERAÇÕES]-[TAXA DE LIQUIDAÇÃO]-[EMOLUMENTOS]-[TAXA DE REGISTRO]-[CORRETAGEM]-[ISS]-IF(['[D/N']]="D",    0,    [OUTRAS BOVESPA]) - [AJUSTE]</f>
        <v>-486.38</v>
      </c>
      <c r="X92" s="136">
        <f>IF(AND(['[D/N']]="D",    [T]="CV",    [LÍQUIDO BASE] &gt; 0),    TRUNC([LÍQUIDO BASE]*0.01, 2),    0)</f>
        <v>0</v>
      </c>
      <c r="Y92" s="63">
        <f>IF([PREÇO] &gt; 0,    [LÍQUIDO BASE]-SUMPRODUCT(N([DATA]=NC[[#This Row],[DATA]]),    [IRRF FONTE]),    0)</f>
        <v>-486.38</v>
      </c>
      <c r="Z92" s="136">
        <f>[LÍQUIDO]-SUMPRODUCT(N([DATA]=NC[[#This Row],[DATA]]),N([ID]=(NC[[#This Row],[ID]]-1)),[LÍQUIDO])</f>
        <v>-486.38</v>
      </c>
      <c r="AA92" s="136">
        <f>IF([T] = "VC", ABS([VALOR OP]) / [QTDE], [VALOR OP]/[QTDE])</f>
        <v>-0.48637999999999998</v>
      </c>
      <c r="AB92" s="136">
        <f>TRUNC(IF(OR([T]="CV",[T]="VV"),     N92*SETUP!$H$3,     0),2)</f>
        <v>0</v>
      </c>
      <c r="AC92" s="134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1000</v>
      </c>
      <c r="AD92" s="14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0.48637999999999998</v>
      </c>
      <c r="AE92" s="141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92" s="14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92" s="136">
        <f>IF([LUCRO TMP] &lt;&gt; 0, [LUCRO TMP] - SUMPRODUCT(N([ATIVO]=NC[[#This Row],[ATIVO]]),N(['[D/N']]="N"),N([ID]&lt;NC[[#This Row],[ID]]),N([PAR]=NC[[#This Row],[PAR]]), [LUCRO TMP]), 0)</f>
        <v>0</v>
      </c>
      <c r="AH92" s="136">
        <f>IF([U] = "U", SUMPRODUCT(N([ID]&lt;=NC[[#This Row],[ID]]),N([DATA BASE]=NC[[#This Row],[DATA BASE]]), N(['[D/N']] = "N"),    [LUCRO P/ OP]), 0)</f>
        <v>0</v>
      </c>
      <c r="AI92" s="136">
        <f>IF([U] = "U", SUMPRODUCT(N([DATA BASE]=NC[[#This Row],[DATA BASE]]), N(['[D/N']] = "D"),    [LUCRO P/ OP]), 0)</f>
        <v>0</v>
      </c>
      <c r="AJ92" s="136">
        <f>IF([U] = "U", SUMPRODUCT(N([DATA BASE]=NC[[#This Row],[DATA BASE]]), N(['[D/N']] = "D"),    [IRRF FONTE]), 0)</f>
        <v>0</v>
      </c>
      <c r="AK92" s="143">
        <f>NC[[#This Row],[LÍQUIDO]]/NC[[#This Row],[QTDE]]</f>
        <v>-0.48637999999999998</v>
      </c>
    </row>
    <row r="93" spans="1:37">
      <c r="A93" s="13">
        <v>92</v>
      </c>
      <c r="B93" s="134"/>
      <c r="C93" s="134" t="s">
        <v>177</v>
      </c>
      <c r="D93" s="134" t="s">
        <v>25</v>
      </c>
      <c r="E93" s="135">
        <v>41698</v>
      </c>
      <c r="F93" s="134">
        <v>500</v>
      </c>
      <c r="G93" s="136">
        <v>0.65</v>
      </c>
      <c r="H93" s="137"/>
      <c r="I93" s="138"/>
      <c r="J93" s="134" t="s">
        <v>6</v>
      </c>
      <c r="K93" s="135">
        <f>WORKDAY(NC[[#This Row],[DATA]],1,0)</f>
        <v>41701</v>
      </c>
      <c r="L93" s="139">
        <f>EOMONTH(NC[[#This Row],[DATA DE LIQUIDAÇÃO]],0)</f>
        <v>41729</v>
      </c>
      <c r="M93" s="134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93" s="136">
        <f>[QTDE]*[PREÇO]</f>
        <v>325</v>
      </c>
      <c r="O93" s="136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325</v>
      </c>
      <c r="P93" s="136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0.08</v>
      </c>
      <c r="Q93" s="136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0.12</v>
      </c>
      <c r="R93" s="136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0.22</v>
      </c>
      <c r="S93" s="136">
        <f>SETUP!$E$3 * IF([PARCIAL] &gt; 0, [QTDE] / [PARCIAL], 1)</f>
        <v>14.9</v>
      </c>
      <c r="T93" s="136">
        <f>SUMPRODUCT(N([DATA]=NC[[#This Row],[DATA]]),N([ID]&lt;=NC[[#This Row],[ID]]), [CORR])</f>
        <v>14.9</v>
      </c>
      <c r="U93" s="136">
        <f>TRUNC([CORRETAGEM]*SETUP!$F$3,2)</f>
        <v>0.28999999999999998</v>
      </c>
      <c r="V93" s="136">
        <f>ROUND([CORRETAGEM]*SETUP!$G$3,2)</f>
        <v>0.57999999999999996</v>
      </c>
      <c r="W93" s="136">
        <f>[VALOR LÍQUIDO DAS OPERAÇÕES]-[TAXA DE LIQUIDAÇÃO]-[EMOLUMENTOS]-[TAXA DE REGISTRO]-[CORRETAGEM]-[ISS]-IF(['[D/N']]="D",    0,    [OUTRAS BOVESPA]) - [AJUSTE]</f>
        <v>308.81</v>
      </c>
      <c r="X93" s="136">
        <f>IF(AND(['[D/N']]="D",    [T]="CV",    [LÍQUIDO BASE] &gt; 0),    TRUNC([LÍQUIDO BASE]*0.01, 2),    0)</f>
        <v>0</v>
      </c>
      <c r="Y93" s="63">
        <f>IF([PREÇO] &gt; 0,    [LÍQUIDO BASE]-SUMPRODUCT(N([DATA]=NC[[#This Row],[DATA]]),    [IRRF FONTE]),    0)</f>
        <v>308.81</v>
      </c>
      <c r="Z93" s="136">
        <f>[LÍQUIDO]-SUMPRODUCT(N([DATA]=NC[[#This Row],[DATA]]),N([ID]=(NC[[#This Row],[ID]]-1)),[LÍQUIDO])</f>
        <v>308.81</v>
      </c>
      <c r="AA93" s="136">
        <f>IF([T] = "VC", ABS([VALOR OP]) / [QTDE], [VALOR OP]/[QTDE])</f>
        <v>0.61762000000000006</v>
      </c>
      <c r="AB93" s="136">
        <f>TRUNC(IF(OR([T]="CV",[T]="VV"),     N93*SETUP!$H$3,     0),2)</f>
        <v>0.01</v>
      </c>
      <c r="AC93" s="134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500</v>
      </c>
      <c r="AD93" s="14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0.48637999999999998</v>
      </c>
      <c r="AE93" s="141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0.61762000000000006</v>
      </c>
      <c r="AF93" s="14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65.620000000000033</v>
      </c>
      <c r="AG93" s="136">
        <f>IF([LUCRO TMP] &lt;&gt; 0, [LUCRO TMP] - SUMPRODUCT(N([ATIVO]=NC[[#This Row],[ATIVO]]),N(['[D/N']]="N"),N([ID]&lt;NC[[#This Row],[ID]]),N([PAR]=NC[[#This Row],[PAR]]), [LUCRO TMP]), 0)</f>
        <v>65.620000000000033</v>
      </c>
      <c r="AH93" s="136">
        <f>IF([U] = "U", SUMPRODUCT(N([ID]&lt;=NC[[#This Row],[ID]]),N([DATA BASE]=NC[[#This Row],[DATA BASE]]), N(['[D/N']] = "N"),    [LUCRO P/ OP]), 0)</f>
        <v>0</v>
      </c>
      <c r="AI93" s="136">
        <f>IF([U] = "U", SUMPRODUCT(N([DATA BASE]=NC[[#This Row],[DATA BASE]]), N(['[D/N']] = "D"),    [LUCRO P/ OP]), 0)</f>
        <v>0</v>
      </c>
      <c r="AJ93" s="136">
        <f>IF([U] = "U", SUMPRODUCT(N([DATA BASE]=NC[[#This Row],[DATA BASE]]), N(['[D/N']] = "D"),    [IRRF FONTE]), 0)</f>
        <v>0</v>
      </c>
      <c r="AK93" s="143">
        <f>NC[[#This Row],[LÍQUIDO]]/NC[[#This Row],[QTDE]]</f>
        <v>0.61762000000000006</v>
      </c>
    </row>
    <row r="94" spans="1:37">
      <c r="A94" s="134">
        <v>93</v>
      </c>
      <c r="B94" s="134"/>
      <c r="C94" s="134" t="s">
        <v>183</v>
      </c>
      <c r="D94" s="134" t="s">
        <v>24</v>
      </c>
      <c r="E94" s="135">
        <v>41758</v>
      </c>
      <c r="F94" s="134">
        <v>65000</v>
      </c>
      <c r="G94" s="136">
        <v>0.3</v>
      </c>
      <c r="H94" s="137"/>
      <c r="I94" s="138"/>
      <c r="J94" s="134" t="s">
        <v>6</v>
      </c>
      <c r="K94" s="135">
        <f>WORKDAY(NC[[#This Row],[DATA]],1,0)</f>
        <v>41759</v>
      </c>
      <c r="L94" s="139">
        <f>EOMONTH(NC[[#This Row],[DATA DE LIQUIDAÇÃO]],0)</f>
        <v>41759</v>
      </c>
      <c r="M94" s="134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94" s="136">
        <f>[QTDE]*[PREÇO]</f>
        <v>19500</v>
      </c>
      <c r="O94" s="136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-19500</v>
      </c>
      <c r="P94" s="136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5.36</v>
      </c>
      <c r="Q94" s="136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7.21</v>
      </c>
      <c r="R94" s="136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13.55</v>
      </c>
      <c r="S94" s="136">
        <f>SETUP!$E$3 * IF([PARCIAL] &gt; 0, [QTDE] / [PARCIAL], 1)</f>
        <v>14.9</v>
      </c>
      <c r="T94" s="136">
        <f>SUMPRODUCT(N([DATA]=NC[[#This Row],[DATA]]),N([ID]&lt;=NC[[#This Row],[ID]]), [CORR])</f>
        <v>14.9</v>
      </c>
      <c r="U94" s="136">
        <f>TRUNC([CORRETAGEM]*SETUP!$F$3,2)</f>
        <v>0.28999999999999998</v>
      </c>
      <c r="V94" s="136">
        <f>ROUND([CORRETAGEM]*SETUP!$G$3,2)</f>
        <v>0.57999999999999996</v>
      </c>
      <c r="W94" s="136">
        <f>[VALOR LÍQUIDO DAS OPERAÇÕES]-[TAXA DE LIQUIDAÇÃO]-[EMOLUMENTOS]-[TAXA DE REGISTRO]-[CORRETAGEM]-[ISS]-IF(['[D/N']]="D",    0,    [OUTRAS BOVESPA]) - [AJUSTE]</f>
        <v>-19541.890000000003</v>
      </c>
      <c r="X94" s="136">
        <f>IF(AND(['[D/N']]="D",    [T]="CV",    [LÍQUIDO BASE] &gt; 0),    TRUNC([LÍQUIDO BASE]*0.01, 2),    0)</f>
        <v>0</v>
      </c>
      <c r="Y94" s="63">
        <f>IF([PREÇO] &gt; 0,    [LÍQUIDO BASE]-SUMPRODUCT(N([DATA]=NC[[#This Row],[DATA]]),    [IRRF FONTE]),    0)</f>
        <v>-19541.890000000003</v>
      </c>
      <c r="Z94" s="136">
        <f>[LÍQUIDO]-SUMPRODUCT(N([DATA]=NC[[#This Row],[DATA]]),N([ID]=(NC[[#This Row],[ID]]-1)),[LÍQUIDO])</f>
        <v>-19541.890000000003</v>
      </c>
      <c r="AA94" s="136">
        <f>IF([T] = "VC", ABS([VALOR OP]) / [QTDE], [VALOR OP]/[QTDE])</f>
        <v>-0.30064446153846158</v>
      </c>
      <c r="AB94" s="136">
        <f>TRUNC(IF(OR([T]="CV",[T]="VV"),     N94*SETUP!$H$3,     0),2)</f>
        <v>0</v>
      </c>
      <c r="AC94" s="134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65000</v>
      </c>
      <c r="AD94" s="14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0.30064446153846158</v>
      </c>
      <c r="AE94" s="141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94" s="14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94" s="136">
        <f>IF([LUCRO TMP] &lt;&gt; 0, [LUCRO TMP] - SUMPRODUCT(N([ATIVO]=NC[[#This Row],[ATIVO]]),N(['[D/N']]="N"),N([ID]&lt;NC[[#This Row],[ID]]),N([PAR]=NC[[#This Row],[PAR]]), [LUCRO TMP]), 0)</f>
        <v>0</v>
      </c>
      <c r="AH94" s="136">
        <f>IF([U] = "U", SUMPRODUCT(N([ID]&lt;=NC[[#This Row],[ID]]),N([DATA BASE]=NC[[#This Row],[DATA BASE]]), N(['[D/N']] = "N"),    [LUCRO P/ OP]), 0)</f>
        <v>0</v>
      </c>
      <c r="AI94" s="136">
        <f>IF([U] = "U", SUMPRODUCT(N([DATA BASE]=NC[[#This Row],[DATA BASE]]), N(['[D/N']] = "D"),    [LUCRO P/ OP]), 0)</f>
        <v>0</v>
      </c>
      <c r="AJ94" s="136">
        <f>IF([U] = "U", SUMPRODUCT(N([DATA BASE]=NC[[#This Row],[DATA BASE]]), N(['[D/N']] = "D"),    [IRRF FONTE]), 0)</f>
        <v>0</v>
      </c>
      <c r="AK94" s="154">
        <f>NC[[#This Row],[LÍQUIDO]]/NC[[#This Row],[QTDE]]</f>
        <v>-0.30064446153846158</v>
      </c>
    </row>
    <row r="95" spans="1:37">
      <c r="A95" s="134">
        <v>94</v>
      </c>
      <c r="B95" s="134"/>
      <c r="C95" s="134" t="s">
        <v>183</v>
      </c>
      <c r="D95" s="134" t="s">
        <v>25</v>
      </c>
      <c r="E95" s="135">
        <v>41759</v>
      </c>
      <c r="F95" s="134">
        <v>32500</v>
      </c>
      <c r="G95" s="136">
        <v>2.5</v>
      </c>
      <c r="H95" s="137"/>
      <c r="I95" s="138"/>
      <c r="J95" s="134" t="s">
        <v>6</v>
      </c>
      <c r="K95" s="135">
        <f>WORKDAY(NC[[#This Row],[DATA]],1,0)</f>
        <v>41760</v>
      </c>
      <c r="L95" s="139">
        <f>EOMONTH(NC[[#This Row],[DATA DE LIQUIDAÇÃO]],0)</f>
        <v>41790</v>
      </c>
      <c r="M95" s="134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95" s="136">
        <f>[QTDE]*[PREÇO]</f>
        <v>81250</v>
      </c>
      <c r="O95" s="136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81250</v>
      </c>
      <c r="P95" s="136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22.34</v>
      </c>
      <c r="Q95" s="136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30.06</v>
      </c>
      <c r="R95" s="136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56.46</v>
      </c>
      <c r="S95" s="136">
        <f>SETUP!$E$3 * IF([PARCIAL] &gt; 0, [QTDE] / [PARCIAL], 1)</f>
        <v>14.9</v>
      </c>
      <c r="T95" s="136">
        <f>SUMPRODUCT(N([DATA]=NC[[#This Row],[DATA]]),N([ID]&lt;=NC[[#This Row],[ID]]), [CORR])</f>
        <v>14.9</v>
      </c>
      <c r="U95" s="136">
        <f>TRUNC([CORRETAGEM]*SETUP!$F$3,2)</f>
        <v>0.28999999999999998</v>
      </c>
      <c r="V95" s="136">
        <f>ROUND([CORRETAGEM]*SETUP!$G$3,2)</f>
        <v>0.57999999999999996</v>
      </c>
      <c r="W95" s="136">
        <f>[VALOR LÍQUIDO DAS OPERAÇÕES]-[TAXA DE LIQUIDAÇÃO]-[EMOLUMENTOS]-[TAXA DE REGISTRO]-[CORRETAGEM]-[ISS]-IF(['[D/N']]="D",    0,    [OUTRAS BOVESPA]) - [AJUSTE]</f>
        <v>81125.37000000001</v>
      </c>
      <c r="X95" s="136">
        <f>IF(AND(['[D/N']]="D",    [T]="CV",    [LÍQUIDO BASE] &gt; 0),    TRUNC([LÍQUIDO BASE]*0.01, 2),    0)</f>
        <v>0</v>
      </c>
      <c r="Y95" s="63">
        <f>IF([PREÇO] &gt; 0,    [LÍQUIDO BASE]-SUMPRODUCT(N([DATA]=NC[[#This Row],[DATA]]),    [IRRF FONTE]),    0)</f>
        <v>81125.37000000001</v>
      </c>
      <c r="Z95" s="136">
        <f>[LÍQUIDO]-SUMPRODUCT(N([DATA]=NC[[#This Row],[DATA]]),N([ID]=(NC[[#This Row],[ID]]-1)),[LÍQUIDO])</f>
        <v>81125.37000000001</v>
      </c>
      <c r="AA95" s="136">
        <f>IF([T] = "VC", ABS([VALOR OP]) / [QTDE], [VALOR OP]/[QTDE])</f>
        <v>2.4961652307692312</v>
      </c>
      <c r="AB95" s="136">
        <f>TRUNC(IF(OR([T]="CV",[T]="VV"),     N95*SETUP!$H$3,     0),2)</f>
        <v>4.0599999999999996</v>
      </c>
      <c r="AC95" s="134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32500</v>
      </c>
      <c r="AD95" s="14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0.30064446153846158</v>
      </c>
      <c r="AE95" s="141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2.4961652307692312</v>
      </c>
      <c r="AF95" s="14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71354.425000000017</v>
      </c>
      <c r="AG95" s="136">
        <f>IF([LUCRO TMP] &lt;&gt; 0, [LUCRO TMP] - SUMPRODUCT(N([ATIVO]=NC[[#This Row],[ATIVO]]),N(['[D/N']]="N"),N([ID]&lt;NC[[#This Row],[ID]]),N([PAR]=NC[[#This Row],[PAR]]), [LUCRO TMP]), 0)</f>
        <v>71354.425000000017</v>
      </c>
      <c r="AH95" s="136">
        <f>IF([U] = "U", SUMPRODUCT(N([ID]&lt;=NC[[#This Row],[ID]]),N([DATA BASE]=NC[[#This Row],[DATA BASE]]), N(['[D/N']] = "N"),    [LUCRO P/ OP]), 0)</f>
        <v>0</v>
      </c>
      <c r="AI95" s="136">
        <f>IF([U] = "U", SUMPRODUCT(N([DATA BASE]=NC[[#This Row],[DATA BASE]]), N(['[D/N']] = "D"),    [LUCRO P/ OP]), 0)</f>
        <v>0</v>
      </c>
      <c r="AJ95" s="136">
        <f>IF([U] = "U", SUMPRODUCT(N([DATA BASE]=NC[[#This Row],[DATA BASE]]), N(['[D/N']] = "D"),    [IRRF FONTE]), 0)</f>
        <v>0</v>
      </c>
      <c r="AK95" s="154">
        <f>NC[[#This Row],[LÍQUIDO]]/NC[[#This Row],[QTDE]]</f>
        <v>2.4961652307692312</v>
      </c>
    </row>
    <row r="96" spans="1:37">
      <c r="Y96" s="27"/>
      <c r="AG96" s="27"/>
    </row>
    <row r="99" spans="25:25">
      <c r="Y99" s="7">
        <v>-760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 r:id="rId1"/>
  <headerFooter alignWithMargins="0">
    <oddHeader>&amp;C&amp;A</oddHeader>
    <oddFooter>&amp;CPágina &amp;P</oddFooter>
  </headerFooter>
  <legacyDrawing r:id="rId2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>
  <dimension ref="A1:W80"/>
  <sheetViews>
    <sheetView tabSelected="1" workbookViewId="0">
      <selection activeCell="N18" sqref="N18"/>
    </sheetView>
  </sheetViews>
  <sheetFormatPr defaultRowHeight="11.25"/>
  <cols>
    <col min="1" max="1" width="9.140625" style="25" customWidth="1"/>
    <col min="2" max="2" width="10.7109375" style="25" bestFit="1" customWidth="1"/>
    <col min="3" max="3" width="7.42578125" style="152" bestFit="1" customWidth="1"/>
    <col min="4" max="4" width="7.7109375" style="27" bestFit="1" customWidth="1"/>
    <col min="5" max="5" width="6.5703125" style="159" bestFit="1" customWidth="1"/>
    <col min="6" max="6" width="10.42578125" style="152" bestFit="1" customWidth="1"/>
    <col min="7" max="7" width="8.28515625" style="155" bestFit="1" customWidth="1"/>
    <col min="8" max="8" width="6.85546875" style="159" bestFit="1" customWidth="1"/>
    <col min="9" max="9" width="6.5703125" style="7" bestFit="1" customWidth="1"/>
    <col min="10" max="11" width="9.140625" style="25" customWidth="1"/>
    <col min="12" max="12" width="7.7109375" style="25" bestFit="1" customWidth="1"/>
    <col min="13" max="13" width="9.140625" style="25" customWidth="1"/>
    <col min="14" max="14" width="10.7109375" style="25" bestFit="1" customWidth="1"/>
    <col min="15" max="15" width="9.140625" style="7"/>
    <col min="16" max="17" width="9.5703125" style="25" bestFit="1" customWidth="1"/>
    <col min="18" max="18" width="9.140625" style="7"/>
    <col min="19" max="19" width="12.140625" style="17" bestFit="1" customWidth="1"/>
    <col min="20" max="20" width="9.140625" style="1"/>
    <col min="21" max="23" width="9.5703125" style="7" bestFit="1" customWidth="1"/>
    <col min="24" max="16384" width="9.140625" style="7"/>
  </cols>
  <sheetData>
    <row r="1" spans="1:23" s="24" customFormat="1">
      <c r="A1" s="26" t="s">
        <v>191</v>
      </c>
      <c r="B1" s="26" t="s">
        <v>184</v>
      </c>
      <c r="C1" s="157" t="s">
        <v>185</v>
      </c>
      <c r="D1" s="156" t="s">
        <v>186</v>
      </c>
      <c r="E1" s="158"/>
      <c r="F1" s="157" t="s">
        <v>187</v>
      </c>
      <c r="G1" s="161" t="s">
        <v>188</v>
      </c>
      <c r="H1" s="158"/>
      <c r="J1" s="26" t="s">
        <v>191</v>
      </c>
      <c r="K1" s="26" t="s">
        <v>192</v>
      </c>
      <c r="L1" s="26"/>
      <c r="M1" s="26" t="s">
        <v>189</v>
      </c>
      <c r="N1" s="26" t="s">
        <v>190</v>
      </c>
      <c r="P1" s="26" t="s">
        <v>325</v>
      </c>
      <c r="Q1" s="26" t="s">
        <v>326</v>
      </c>
      <c r="S1" s="26"/>
    </row>
    <row r="2" spans="1:23">
      <c r="A2" s="25">
        <v>15.83</v>
      </c>
      <c r="B2" s="25">
        <f>IF(COUNTBLANK(A2:A10)&gt;0,"",AVERAGE(A2:A10))</f>
        <v>16.003333333333334</v>
      </c>
      <c r="C2" s="152">
        <f t="shared" ref="C2:C9" si="0">IF(B2="","",STDEV(A2:A10))</f>
        <v>0.21395092895332776</v>
      </c>
      <c r="D2" s="27">
        <f>C2/B2</f>
        <v>1.3369147820453724E-2</v>
      </c>
      <c r="F2" s="152">
        <f>VAR(A2:A10)</f>
        <v>4.5774999999991905E-2</v>
      </c>
      <c r="G2" s="155">
        <f t="shared" ref="G2:G33" si="1">F2/B2</f>
        <v>2.8603415955004313E-3</v>
      </c>
      <c r="J2" s="25">
        <v>15.83</v>
      </c>
      <c r="K2" s="25">
        <v>28.41</v>
      </c>
      <c r="M2" s="25">
        <v>16.38</v>
      </c>
      <c r="N2" s="25">
        <v>28.54</v>
      </c>
      <c r="P2" s="25">
        <v>15.99</v>
      </c>
      <c r="Q2" s="25">
        <v>29.18</v>
      </c>
      <c r="S2" s="17">
        <v>600</v>
      </c>
      <c r="T2" s="185">
        <f>S2*20%</f>
        <v>120</v>
      </c>
      <c r="U2" s="80">
        <f>S2-T2</f>
        <v>480</v>
      </c>
      <c r="V2" s="80">
        <f>SUM($U$2:U2)</f>
        <v>480</v>
      </c>
      <c r="W2" s="80">
        <f>V2+T2+S2</f>
        <v>1200</v>
      </c>
    </row>
    <row r="3" spans="1:23">
      <c r="A3" s="25">
        <v>15.81</v>
      </c>
      <c r="B3" s="25">
        <f t="shared" ref="B3:B66" si="2">IF(COUNTBLANK(A3:A11)&gt;0,"",AVERAGE(A3:A11))</f>
        <v>16.06111111111111</v>
      </c>
      <c r="C3" s="152">
        <f t="shared" si="0"/>
        <v>0.23083784592483902</v>
      </c>
      <c r="D3" s="27">
        <f t="shared" ref="D3:D15" si="3">C3/B3</f>
        <v>1.4372470517630933E-2</v>
      </c>
      <c r="E3" s="159">
        <f>D3/D2</f>
        <v>1.0750476178924588</v>
      </c>
      <c r="F3" s="152">
        <f t="shared" ref="F3:F66" si="4">VAR(A3:A11)</f>
        <v>5.3286111111219725E-2</v>
      </c>
      <c r="G3" s="155">
        <f t="shared" si="1"/>
        <v>3.3177101349081812E-3</v>
      </c>
      <c r="H3" s="159">
        <f>ROUND(G3/G2,2)</f>
        <v>1.1599999999999999</v>
      </c>
      <c r="J3" s="25">
        <v>15.81</v>
      </c>
      <c r="K3" s="25">
        <v>28.38</v>
      </c>
      <c r="M3" s="25">
        <v>16.190000000000001</v>
      </c>
      <c r="N3" s="25">
        <v>28.2</v>
      </c>
      <c r="O3" s="80"/>
      <c r="P3" s="25">
        <v>15.85</v>
      </c>
      <c r="Q3" s="25">
        <v>29.06</v>
      </c>
      <c r="S3" s="17">
        <f>S2+T2+600</f>
        <v>1320</v>
      </c>
      <c r="T3" s="185">
        <f>S3*20%</f>
        <v>264</v>
      </c>
      <c r="U3" s="80">
        <f t="shared" ref="U3:U22" si="5">S3-T3</f>
        <v>1056</v>
      </c>
      <c r="V3" s="80">
        <f>SUM($U$2:U3)</f>
        <v>1536</v>
      </c>
      <c r="W3" s="80">
        <f t="shared" ref="W3:W22" si="6">V3+T3+S3</f>
        <v>3120</v>
      </c>
    </row>
    <row r="4" spans="1:23">
      <c r="A4" s="25">
        <v>15.84</v>
      </c>
      <c r="B4" s="25">
        <f t="shared" si="2"/>
        <v>16.126666666666665</v>
      </c>
      <c r="C4" s="152">
        <f t="shared" si="0"/>
        <v>0.23436083290545656</v>
      </c>
      <c r="D4" s="27">
        <f t="shared" si="3"/>
        <v>1.4532503073922483E-2</v>
      </c>
      <c r="E4" s="159">
        <f t="shared" ref="E4:E67" si="7">D4/D3</f>
        <v>1.0111346588671193</v>
      </c>
      <c r="F4" s="152">
        <f t="shared" si="4"/>
        <v>5.4925000000139335E-2</v>
      </c>
      <c r="G4" s="155">
        <f t="shared" si="1"/>
        <v>3.4058495246055811E-3</v>
      </c>
      <c r="H4" s="159">
        <f>ROUND(G4/G3,2)</f>
        <v>1.03</v>
      </c>
      <c r="J4" s="25">
        <v>15.84</v>
      </c>
      <c r="K4" s="25">
        <v>28.47</v>
      </c>
      <c r="M4" s="25">
        <v>15.94</v>
      </c>
      <c r="N4" s="25">
        <v>28.19</v>
      </c>
      <c r="O4" s="80"/>
      <c r="P4" s="25">
        <v>15.68</v>
      </c>
      <c r="Q4" s="25">
        <v>28.8</v>
      </c>
      <c r="S4" s="17">
        <f>S3+T3+600</f>
        <v>2184</v>
      </c>
      <c r="T4" s="185">
        <f>S4*20%</f>
        <v>436.8</v>
      </c>
      <c r="U4" s="80">
        <f t="shared" si="5"/>
        <v>1747.2</v>
      </c>
      <c r="V4" s="80">
        <f>SUM($U$2:U4)</f>
        <v>3283.2</v>
      </c>
      <c r="W4" s="80">
        <f t="shared" si="6"/>
        <v>5904</v>
      </c>
    </row>
    <row r="5" spans="1:23">
      <c r="A5" s="25">
        <v>15.83</v>
      </c>
      <c r="B5" s="25">
        <f t="shared" si="2"/>
        <v>16.18</v>
      </c>
      <c r="C5" s="152">
        <f t="shared" si="0"/>
        <v>0.21476731594905424</v>
      </c>
      <c r="D5" s="27">
        <f t="shared" si="3"/>
        <v>1.3273628921449582E-2</v>
      </c>
      <c r="E5" s="159">
        <f t="shared" si="7"/>
        <v>0.91337527017407905</v>
      </c>
      <c r="F5" s="152">
        <f t="shared" si="4"/>
        <v>4.6124999999960892E-2</v>
      </c>
      <c r="G5" s="155">
        <f t="shared" si="1"/>
        <v>2.8507416563634666E-3</v>
      </c>
      <c r="H5" s="159">
        <f t="shared" ref="H5:H68" si="8">ROUND(G5/G4,2)</f>
        <v>0.84</v>
      </c>
      <c r="J5" s="25">
        <v>15.83</v>
      </c>
      <c r="K5" s="25">
        <v>28.53</v>
      </c>
      <c r="M5" s="25">
        <v>16.05</v>
      </c>
      <c r="N5" s="25">
        <v>28.03</v>
      </c>
      <c r="O5" s="80"/>
      <c r="P5" s="25">
        <v>16.190000000000001</v>
      </c>
      <c r="Q5" s="25">
        <v>28.97</v>
      </c>
      <c r="S5" s="17">
        <f>S4+T4+600</f>
        <v>3220.8</v>
      </c>
      <c r="T5" s="185">
        <f>S5*20%</f>
        <v>644.16000000000008</v>
      </c>
      <c r="U5" s="80">
        <f t="shared" si="5"/>
        <v>2576.6400000000003</v>
      </c>
      <c r="V5" s="80">
        <f>SUM($U$2:U5)</f>
        <v>5859.84</v>
      </c>
      <c r="W5" s="80">
        <f t="shared" si="6"/>
        <v>9724.7999999999993</v>
      </c>
    </row>
    <row r="6" spans="1:23">
      <c r="A6" s="25">
        <v>15.91</v>
      </c>
      <c r="B6" s="25">
        <f t="shared" si="2"/>
        <v>16.233333333333334</v>
      </c>
      <c r="C6" s="152">
        <f t="shared" si="0"/>
        <v>0.1724093964956229</v>
      </c>
      <c r="D6" s="27">
        <f t="shared" si="3"/>
        <v>1.0620702042851513E-2</v>
      </c>
      <c r="E6" s="159">
        <f t="shared" si="7"/>
        <v>0.80013552478395267</v>
      </c>
      <c r="F6" s="152">
        <f t="shared" si="4"/>
        <v>2.9724999999984902E-2</v>
      </c>
      <c r="G6" s="155">
        <f t="shared" si="1"/>
        <v>1.8311088295678583E-3</v>
      </c>
      <c r="H6" s="159">
        <f t="shared" si="8"/>
        <v>0.64</v>
      </c>
      <c r="J6" s="25">
        <v>15.91</v>
      </c>
      <c r="K6" s="25">
        <v>28.55</v>
      </c>
      <c r="M6" s="25">
        <v>15.96</v>
      </c>
      <c r="N6" s="25">
        <v>28.04</v>
      </c>
      <c r="O6" s="80"/>
      <c r="P6" s="25">
        <v>15.93</v>
      </c>
      <c r="Q6" s="25">
        <v>29.22</v>
      </c>
      <c r="S6" s="17">
        <f t="shared" ref="S6:S10" si="9">S5+T5+600</f>
        <v>4464.96</v>
      </c>
      <c r="T6" s="185">
        <f t="shared" ref="T6:T22" si="10">S6*20%</f>
        <v>892.99200000000008</v>
      </c>
      <c r="U6" s="80">
        <f t="shared" si="5"/>
        <v>3571.9679999999998</v>
      </c>
      <c r="V6" s="80">
        <f>SUM($U$2:U6)</f>
        <v>9431.8080000000009</v>
      </c>
      <c r="W6" s="80">
        <f t="shared" si="6"/>
        <v>14789.760000000002</v>
      </c>
    </row>
    <row r="7" spans="1:23">
      <c r="A7" s="25">
        <v>15.97</v>
      </c>
      <c r="B7" s="25">
        <f t="shared" si="2"/>
        <v>16.283333333333335</v>
      </c>
      <c r="C7" s="152">
        <f t="shared" si="0"/>
        <v>0.12589678312014141</v>
      </c>
      <c r="D7" s="27">
        <f t="shared" si="3"/>
        <v>7.7316345826084791E-3</v>
      </c>
      <c r="E7" s="159">
        <f t="shared" si="7"/>
        <v>0.72797773173689762</v>
      </c>
      <c r="F7" s="152">
        <f t="shared" si="4"/>
        <v>1.584999999999992E-2</v>
      </c>
      <c r="G7" s="155">
        <f t="shared" si="1"/>
        <v>9.7338792221084451E-4</v>
      </c>
      <c r="H7" s="159">
        <f t="shared" si="8"/>
        <v>0.53</v>
      </c>
      <c r="J7" s="25">
        <v>15.97</v>
      </c>
      <c r="K7" s="25">
        <v>28.52</v>
      </c>
      <c r="M7" s="25">
        <v>15.96</v>
      </c>
      <c r="N7" s="25">
        <v>27.86</v>
      </c>
      <c r="O7" s="80"/>
      <c r="P7" s="25">
        <v>15.32</v>
      </c>
      <c r="Q7" s="25">
        <v>27.87</v>
      </c>
      <c r="S7" s="17">
        <f t="shared" si="9"/>
        <v>5957.9520000000002</v>
      </c>
      <c r="T7" s="185">
        <f t="shared" si="10"/>
        <v>1191.5904</v>
      </c>
      <c r="U7" s="80">
        <f t="shared" si="5"/>
        <v>4766.3616000000002</v>
      </c>
      <c r="V7" s="80">
        <f>SUM($U$2:U7)</f>
        <v>14198.169600000001</v>
      </c>
      <c r="W7" s="80">
        <f t="shared" si="6"/>
        <v>21347.712000000003</v>
      </c>
    </row>
    <row r="8" spans="1:23">
      <c r="A8" s="25">
        <v>16.27</v>
      </c>
      <c r="B8" s="25">
        <f t="shared" si="2"/>
        <v>16.316666666666666</v>
      </c>
      <c r="C8" s="152">
        <f t="shared" si="0"/>
        <v>4.8476798574163177E-2</v>
      </c>
      <c r="D8" s="27">
        <f t="shared" si="3"/>
        <v>2.9709988911642395E-3</v>
      </c>
      <c r="E8" s="159">
        <f t="shared" si="7"/>
        <v>0.3842653011366054</v>
      </c>
      <c r="F8" s="152">
        <f t="shared" si="4"/>
        <v>2.3499999999999888E-3</v>
      </c>
      <c r="G8" s="155">
        <f t="shared" si="1"/>
        <v>1.4402451481103099E-4</v>
      </c>
      <c r="H8" s="159">
        <f t="shared" si="8"/>
        <v>0.15</v>
      </c>
      <c r="I8" s="160"/>
      <c r="J8" s="25">
        <v>16.27</v>
      </c>
      <c r="K8" s="25">
        <v>28.7</v>
      </c>
      <c r="M8" s="25">
        <v>15.91</v>
      </c>
      <c r="N8" s="25">
        <v>27.67</v>
      </c>
      <c r="O8" s="80"/>
      <c r="P8" s="25">
        <v>15.78</v>
      </c>
      <c r="Q8" s="25">
        <v>28.15</v>
      </c>
      <c r="S8" s="17">
        <f t="shared" si="9"/>
        <v>7749.5424000000003</v>
      </c>
      <c r="T8" s="185">
        <f t="shared" si="10"/>
        <v>1549.9084800000001</v>
      </c>
      <c r="U8" s="80">
        <f t="shared" si="5"/>
        <v>6199.6339200000002</v>
      </c>
      <c r="V8" s="80">
        <f>SUM($U$2:U8)</f>
        <v>20397.803520000001</v>
      </c>
      <c r="W8" s="80">
        <f t="shared" si="6"/>
        <v>29697.254399999998</v>
      </c>
    </row>
    <row r="9" spans="1:23">
      <c r="A9" s="25">
        <v>16.25</v>
      </c>
      <c r="B9" s="25">
        <f t="shared" si="2"/>
        <v>16.314444444444444</v>
      </c>
      <c r="C9" s="152">
        <f t="shared" si="0"/>
        <v>5.126185499743216E-2</v>
      </c>
      <c r="D9" s="27">
        <f t="shared" si="3"/>
        <v>3.1421146562479701E-3</v>
      </c>
      <c r="E9" s="159">
        <f t="shared" si="7"/>
        <v>1.0575953648426559</v>
      </c>
      <c r="F9" s="152">
        <f t="shared" si="4"/>
        <v>2.6277777777777606E-3</v>
      </c>
      <c r="G9" s="155">
        <f t="shared" si="1"/>
        <v>1.6107062589388986E-4</v>
      </c>
      <c r="H9" s="159">
        <f t="shared" si="8"/>
        <v>1.1200000000000001</v>
      </c>
      <c r="I9" s="160"/>
      <c r="J9" s="25">
        <v>16.25</v>
      </c>
      <c r="K9" s="25">
        <v>28.55</v>
      </c>
      <c r="M9" s="25">
        <v>16.010000000000002</v>
      </c>
      <c r="N9" s="25">
        <v>27.64</v>
      </c>
      <c r="O9" s="80"/>
      <c r="P9" s="25">
        <v>16.38</v>
      </c>
      <c r="Q9" s="25">
        <v>28.54</v>
      </c>
      <c r="S9" s="17">
        <f t="shared" si="9"/>
        <v>9899.4508800000003</v>
      </c>
      <c r="T9" s="185">
        <f t="shared" si="10"/>
        <v>1979.8901760000001</v>
      </c>
      <c r="U9" s="80">
        <f t="shared" si="5"/>
        <v>7919.5607040000004</v>
      </c>
      <c r="V9" s="80">
        <f>SUM($U$2:U9)</f>
        <v>28317.364224000001</v>
      </c>
      <c r="W9" s="80">
        <f t="shared" si="6"/>
        <v>40196.705280000002</v>
      </c>
    </row>
    <row r="10" spans="1:23">
      <c r="A10" s="25">
        <v>16.32</v>
      </c>
      <c r="B10" s="25">
        <f t="shared" si="2"/>
        <v>16.316666666666666</v>
      </c>
      <c r="C10" s="152">
        <f>IF(B10="","",STDEV(A10:A17))</f>
        <v>4.832922806867776E-2</v>
      </c>
      <c r="D10" s="27">
        <f t="shared" si="3"/>
        <v>2.9619547335246839E-3</v>
      </c>
      <c r="E10" s="159">
        <f t="shared" si="7"/>
        <v>0.94266284256526245</v>
      </c>
      <c r="F10" s="152">
        <f t="shared" si="4"/>
        <v>2.3499999999999888E-3</v>
      </c>
      <c r="G10" s="155">
        <f t="shared" si="1"/>
        <v>1.4402451481103099E-4</v>
      </c>
      <c r="H10" s="159">
        <f t="shared" si="8"/>
        <v>0.89</v>
      </c>
      <c r="I10" s="160"/>
      <c r="J10" s="25">
        <v>16.32</v>
      </c>
      <c r="K10" s="25">
        <v>28.45</v>
      </c>
      <c r="M10" s="25">
        <v>16.03</v>
      </c>
      <c r="N10" s="25">
        <v>27.7</v>
      </c>
      <c r="O10" s="80"/>
      <c r="P10" s="25">
        <v>15.96</v>
      </c>
      <c r="Q10" s="25">
        <v>28.04</v>
      </c>
      <c r="S10" s="186">
        <f t="shared" si="9"/>
        <v>12479.341056000001</v>
      </c>
      <c r="T10" s="188">
        <f t="shared" si="10"/>
        <v>2495.8682112000006</v>
      </c>
      <c r="U10" s="187">
        <f t="shared" si="5"/>
        <v>9983.4728448000005</v>
      </c>
      <c r="V10" s="187">
        <f>SUM($U$2:U10)</f>
        <v>38300.8370688</v>
      </c>
      <c r="W10" s="187">
        <f t="shared" si="6"/>
        <v>53276.046335999999</v>
      </c>
    </row>
    <row r="11" spans="1:23">
      <c r="A11" s="25">
        <v>16.350000000000001</v>
      </c>
      <c r="B11" s="25">
        <f t="shared" si="2"/>
        <v>16.312222222222221</v>
      </c>
      <c r="C11" s="152">
        <f t="shared" ref="C11:C17" si="11">IF(B11="","",STDEV(A11:A19))</f>
        <v>4.9944413545905425E-2</v>
      </c>
      <c r="D11" s="27">
        <f t="shared" si="3"/>
        <v>3.0617786384656964E-3</v>
      </c>
      <c r="E11" s="159">
        <f t="shared" si="7"/>
        <v>1.0337020359599567</v>
      </c>
      <c r="F11" s="152">
        <f t="shared" si="4"/>
        <v>2.4944444444444211E-3</v>
      </c>
      <c r="G11" s="155">
        <f t="shared" si="1"/>
        <v>1.5291873850554997E-4</v>
      </c>
      <c r="H11" s="159">
        <f t="shared" si="8"/>
        <v>1.06</v>
      </c>
      <c r="I11" s="160"/>
      <c r="J11" s="25">
        <v>16.350000000000001</v>
      </c>
      <c r="K11" s="25">
        <v>28.54</v>
      </c>
      <c r="M11" s="25">
        <v>16.07</v>
      </c>
      <c r="N11" s="25">
        <v>27.8</v>
      </c>
      <c r="P11" s="25">
        <v>16.03</v>
      </c>
      <c r="Q11" s="25">
        <v>27.7</v>
      </c>
      <c r="S11" s="17">
        <f t="shared" ref="S11:S15" si="12">S10+T10+600</f>
        <v>15575.209267200002</v>
      </c>
      <c r="T11" s="185">
        <f t="shared" si="10"/>
        <v>3115.0418534400005</v>
      </c>
      <c r="U11" s="80">
        <f t="shared" si="5"/>
        <v>12460.167413760002</v>
      </c>
      <c r="V11" s="80">
        <f>SUM($U$2:U11)</f>
        <v>50761.004482560005</v>
      </c>
      <c r="W11" s="80">
        <f t="shared" si="6"/>
        <v>69451.255603200014</v>
      </c>
    </row>
    <row r="12" spans="1:23">
      <c r="A12" s="25">
        <v>16.399999999999999</v>
      </c>
      <c r="B12" s="25">
        <f>IF(COUNTBLANK(A12:A20)&gt;0,"",AVERAGE(A12:A20))</f>
        <v>16.307777777777776</v>
      </c>
      <c r="C12" s="152">
        <f t="shared" si="11"/>
        <v>4.7900359543999287E-2</v>
      </c>
      <c r="D12" s="27">
        <f t="shared" si="3"/>
        <v>2.9372708039517178E-3</v>
      </c>
      <c r="E12" s="159">
        <f t="shared" si="7"/>
        <v>0.95933480201678745</v>
      </c>
      <c r="F12" s="152">
        <f t="shared" si="4"/>
        <v>2.2944444444444037E-3</v>
      </c>
      <c r="G12" s="155">
        <f t="shared" si="1"/>
        <v>1.4069632758737912E-4</v>
      </c>
      <c r="H12" s="159">
        <f t="shared" si="8"/>
        <v>0.92</v>
      </c>
      <c r="I12" s="160"/>
      <c r="J12" s="25">
        <v>16.399999999999999</v>
      </c>
      <c r="K12" s="25">
        <v>28.29</v>
      </c>
      <c r="M12" s="25">
        <v>16.07</v>
      </c>
      <c r="N12" s="25">
        <v>27.87</v>
      </c>
      <c r="P12" s="25">
        <v>16.13</v>
      </c>
      <c r="Q12" s="25">
        <v>28.15</v>
      </c>
      <c r="S12" s="17">
        <f t="shared" si="12"/>
        <v>19290.251120640001</v>
      </c>
      <c r="T12" s="185">
        <f t="shared" si="10"/>
        <v>3858.0502241280005</v>
      </c>
      <c r="U12" s="80">
        <f t="shared" si="5"/>
        <v>15432.200896512</v>
      </c>
      <c r="V12" s="80">
        <f>SUM($U$2:U12)</f>
        <v>66193.205379072009</v>
      </c>
      <c r="W12" s="80">
        <f t="shared" si="6"/>
        <v>89341.506723840022</v>
      </c>
    </row>
    <row r="13" spans="1:23">
      <c r="A13" s="25">
        <v>16.32</v>
      </c>
      <c r="B13" s="25">
        <f t="shared" si="2"/>
        <v>16.296666666666667</v>
      </c>
      <c r="C13" s="152">
        <f t="shared" si="11"/>
        <v>3.3166247903553783E-2</v>
      </c>
      <c r="D13" s="27">
        <f t="shared" si="3"/>
        <v>2.0351553223698373E-3</v>
      </c>
      <c r="E13" s="159">
        <f t="shared" si="7"/>
        <v>0.69287289399118368</v>
      </c>
      <c r="F13" s="152">
        <f t="shared" si="4"/>
        <v>1.0999999999999855E-3</v>
      </c>
      <c r="G13" s="155">
        <f t="shared" si="1"/>
        <v>6.7498465943954925E-5</v>
      </c>
      <c r="H13" s="159">
        <f t="shared" si="8"/>
        <v>0.48</v>
      </c>
      <c r="I13" s="160"/>
      <c r="J13" s="25">
        <v>16.32</v>
      </c>
      <c r="K13" s="25">
        <v>28.17</v>
      </c>
      <c r="M13" s="25">
        <v>16.13</v>
      </c>
      <c r="N13" s="25">
        <v>27.84</v>
      </c>
      <c r="P13" s="25">
        <v>16.03</v>
      </c>
      <c r="Q13" s="25">
        <v>27.5</v>
      </c>
      <c r="S13" s="17">
        <f t="shared" si="12"/>
        <v>23748.301344768002</v>
      </c>
      <c r="T13" s="185">
        <f t="shared" si="10"/>
        <v>4749.6602689536003</v>
      </c>
      <c r="U13" s="80">
        <f t="shared" si="5"/>
        <v>18998.641075814401</v>
      </c>
      <c r="V13" s="80">
        <f>SUM($U$2:U13)</f>
        <v>85191.846454886414</v>
      </c>
      <c r="W13" s="80">
        <f t="shared" si="6"/>
        <v>113689.80806860801</v>
      </c>
    </row>
    <row r="14" spans="1:23">
      <c r="A14" s="25">
        <v>16.309999999999999</v>
      </c>
      <c r="B14" s="25">
        <f t="shared" si="2"/>
        <v>16.307777777777776</v>
      </c>
      <c r="C14" s="152">
        <f t="shared" si="11"/>
        <v>5.2862505090512713E-2</v>
      </c>
      <c r="D14" s="27">
        <f t="shared" si="3"/>
        <v>3.2415517191157215E-3</v>
      </c>
      <c r="E14" s="159">
        <f t="shared" si="7"/>
        <v>1.5927785380730035</v>
      </c>
      <c r="F14" s="152">
        <f t="shared" si="4"/>
        <v>2.7944444444444822E-3</v>
      </c>
      <c r="G14" s="155">
        <f t="shared" si="1"/>
        <v>1.7135654425291506E-4</v>
      </c>
      <c r="H14" s="159">
        <f t="shared" si="8"/>
        <v>2.54</v>
      </c>
      <c r="I14" s="160"/>
      <c r="J14" s="25">
        <v>16.309999999999999</v>
      </c>
      <c r="M14" s="25">
        <v>16.13</v>
      </c>
      <c r="N14" s="25">
        <v>28.15</v>
      </c>
      <c r="S14" s="17">
        <f t="shared" si="12"/>
        <v>29097.961613721603</v>
      </c>
      <c r="T14" s="185">
        <f t="shared" si="10"/>
        <v>5819.5923227443209</v>
      </c>
      <c r="U14" s="80">
        <f t="shared" si="5"/>
        <v>23278.369290977284</v>
      </c>
      <c r="V14" s="80">
        <f>SUM($U$2:U14)</f>
        <v>108470.21574586369</v>
      </c>
      <c r="W14" s="80">
        <f t="shared" si="6"/>
        <v>143387.76968232961</v>
      </c>
    </row>
    <row r="15" spans="1:23">
      <c r="A15" s="25">
        <v>16.36</v>
      </c>
      <c r="B15" s="25">
        <f>IF(COUNTBLANK(A15:A23)&gt;0,"",AVERAGE(A15:A23))</f>
        <v>16.324444444444442</v>
      </c>
      <c r="C15" s="152">
        <f t="shared" si="11"/>
        <v>7.3333333333333764E-2</v>
      </c>
      <c r="D15" s="27">
        <f t="shared" si="3"/>
        <v>4.4922406751974134E-3</v>
      </c>
      <c r="E15" s="159">
        <f t="shared" si="7"/>
        <v>1.3858303258609963</v>
      </c>
      <c r="F15" s="152">
        <f t="shared" si="4"/>
        <v>5.3777777777778415E-3</v>
      </c>
      <c r="G15" s="155">
        <f t="shared" si="1"/>
        <v>3.2943098284781227E-4</v>
      </c>
      <c r="H15" s="159">
        <f t="shared" si="8"/>
        <v>1.92</v>
      </c>
      <c r="I15" s="160"/>
      <c r="J15" s="25">
        <v>16.36</v>
      </c>
      <c r="M15" s="25">
        <v>15.73</v>
      </c>
      <c r="N15" s="25">
        <v>27.49</v>
      </c>
      <c r="S15" s="17">
        <f t="shared" si="12"/>
        <v>35517.553936465927</v>
      </c>
      <c r="T15" s="185">
        <f t="shared" si="10"/>
        <v>7103.5107872931858</v>
      </c>
      <c r="U15" s="80">
        <f t="shared" si="5"/>
        <v>28414.043149172743</v>
      </c>
      <c r="V15" s="80">
        <f>SUM($U$2:U15)</f>
        <v>136884.25889503644</v>
      </c>
      <c r="W15" s="80">
        <f t="shared" si="6"/>
        <v>179505.32361879558</v>
      </c>
    </row>
    <row r="16" spans="1:23">
      <c r="A16" s="25">
        <v>16.27</v>
      </c>
      <c r="B16" s="25" t="str">
        <f>IF(COUNTBLANK(A16:A24)&gt;0,"",AVERAGE(A16:A24))</f>
        <v/>
      </c>
      <c r="C16" s="152" t="str">
        <f t="shared" si="11"/>
        <v/>
      </c>
      <c r="D16" s="27" t="e">
        <f t="shared" ref="D16:D33" si="13">C16/B16</f>
        <v>#VALUE!</v>
      </c>
      <c r="E16" s="159" t="e">
        <f t="shared" si="7"/>
        <v>#VALUE!</v>
      </c>
      <c r="F16" s="152">
        <f t="shared" si="4"/>
        <v>5.9428571428572245E-3</v>
      </c>
      <c r="G16" s="155" t="e">
        <f t="shared" si="1"/>
        <v>#VALUE!</v>
      </c>
      <c r="H16" s="159" t="e">
        <f t="shared" si="8"/>
        <v>#VALUE!</v>
      </c>
      <c r="I16" s="160"/>
      <c r="J16" s="25">
        <v>16.27</v>
      </c>
      <c r="M16" s="25">
        <v>15.84</v>
      </c>
      <c r="N16" s="25">
        <v>27.5</v>
      </c>
      <c r="S16" s="17">
        <f t="shared" ref="S16:S22" si="14">S15+T15+600</f>
        <v>43221.064723759111</v>
      </c>
      <c r="T16" s="185">
        <f t="shared" si="10"/>
        <v>8644.2129447518219</v>
      </c>
      <c r="U16" s="80">
        <f t="shared" si="5"/>
        <v>34576.851779007287</v>
      </c>
      <c r="V16" s="80">
        <f>SUM($U$2:U16)</f>
        <v>171461.11067404374</v>
      </c>
      <c r="W16" s="80">
        <f t="shared" si="6"/>
        <v>223326.38834255465</v>
      </c>
    </row>
    <row r="17" spans="1:23">
      <c r="A17" s="25">
        <v>16.25</v>
      </c>
      <c r="B17" s="25" t="str">
        <f t="shared" si="2"/>
        <v/>
      </c>
      <c r="C17" s="152" t="str">
        <f t="shared" si="11"/>
        <v/>
      </c>
      <c r="D17" s="27" t="e">
        <f t="shared" si="13"/>
        <v>#VALUE!</v>
      </c>
      <c r="E17" s="159" t="e">
        <f t="shared" si="7"/>
        <v>#VALUE!</v>
      </c>
      <c r="F17" s="152">
        <f t="shared" si="4"/>
        <v>6.457142857142939E-3</v>
      </c>
      <c r="G17" s="155" t="e">
        <f t="shared" si="1"/>
        <v>#VALUE!</v>
      </c>
      <c r="H17" s="159" t="e">
        <f t="shared" si="8"/>
        <v>#VALUE!</v>
      </c>
      <c r="I17" s="160"/>
      <c r="J17" s="25">
        <v>16.25</v>
      </c>
      <c r="M17" s="25">
        <v>15.93</v>
      </c>
      <c r="N17" s="25">
        <v>27.48</v>
      </c>
      <c r="S17" s="17">
        <f t="shared" si="14"/>
        <v>52465.277668510935</v>
      </c>
      <c r="T17" s="185">
        <f t="shared" si="10"/>
        <v>10493.055533702187</v>
      </c>
      <c r="U17" s="80">
        <f t="shared" si="5"/>
        <v>41972.222134808748</v>
      </c>
      <c r="V17" s="80">
        <f>SUM($U$2:U17)</f>
        <v>213433.33280885249</v>
      </c>
      <c r="W17" s="80">
        <f t="shared" si="6"/>
        <v>276391.66601106559</v>
      </c>
    </row>
    <row r="18" spans="1:23">
      <c r="A18" s="25">
        <v>16.27</v>
      </c>
      <c r="B18" s="25" t="str">
        <f t="shared" si="2"/>
        <v/>
      </c>
      <c r="C18" s="152" t="str">
        <f>IF(B18="","",STDEV(A17:A26))</f>
        <v/>
      </c>
      <c r="D18" s="27" t="e">
        <f t="shared" si="13"/>
        <v>#VALUE!</v>
      </c>
      <c r="E18" s="159" t="e">
        <f t="shared" si="7"/>
        <v>#VALUE!</v>
      </c>
      <c r="F18" s="152">
        <f t="shared" si="4"/>
        <v>6.3600000000000835E-3</v>
      </c>
      <c r="G18" s="155" t="e">
        <f t="shared" si="1"/>
        <v>#VALUE!</v>
      </c>
      <c r="H18" s="159" t="e">
        <f t="shared" si="8"/>
        <v>#VALUE!</v>
      </c>
      <c r="I18" s="160"/>
      <c r="J18" s="25">
        <v>16.27</v>
      </c>
      <c r="M18" s="25">
        <v>16.03</v>
      </c>
      <c r="N18" s="25">
        <v>27.5</v>
      </c>
      <c r="S18" s="17">
        <f t="shared" si="14"/>
        <v>63558.333202213122</v>
      </c>
      <c r="T18" s="185">
        <f t="shared" si="10"/>
        <v>12711.666640442625</v>
      </c>
      <c r="U18" s="80">
        <f t="shared" si="5"/>
        <v>50846.6665617705</v>
      </c>
      <c r="V18" s="80">
        <f>SUM($U$2:U18)</f>
        <v>264279.99937062297</v>
      </c>
      <c r="W18" s="80">
        <f t="shared" si="6"/>
        <v>340549.9992132787</v>
      </c>
    </row>
    <row r="19" spans="1:23">
      <c r="A19" s="25">
        <v>16.28</v>
      </c>
      <c r="B19" s="25" t="str">
        <f t="shared" si="2"/>
        <v/>
      </c>
      <c r="C19" s="152" t="str">
        <f t="shared" ref="C19:C50" si="15">IF(B19="","",STDEV(A19:A27))</f>
        <v/>
      </c>
      <c r="D19" s="27" t="e">
        <f t="shared" si="13"/>
        <v>#VALUE!</v>
      </c>
      <c r="E19" s="159" t="e">
        <f t="shared" si="7"/>
        <v>#VALUE!</v>
      </c>
      <c r="F19" s="152">
        <f t="shared" si="4"/>
        <v>6.4800000000000682E-3</v>
      </c>
      <c r="G19" s="155" t="e">
        <f t="shared" si="1"/>
        <v>#VALUE!</v>
      </c>
      <c r="H19" s="159" t="e">
        <f t="shared" si="8"/>
        <v>#VALUE!</v>
      </c>
      <c r="I19" s="160"/>
      <c r="J19" s="25">
        <v>16.28</v>
      </c>
      <c r="M19" s="25">
        <v>15.97</v>
      </c>
      <c r="N19" s="25">
        <v>26.83</v>
      </c>
      <c r="S19" s="17">
        <f t="shared" si="14"/>
        <v>76869.999842655743</v>
      </c>
      <c r="T19" s="185">
        <f t="shared" si="10"/>
        <v>15373.999968531149</v>
      </c>
      <c r="U19" s="80">
        <f t="shared" si="5"/>
        <v>61495.999874124594</v>
      </c>
      <c r="V19" s="80">
        <f>SUM($U$2:U19)</f>
        <v>325775.99924474757</v>
      </c>
      <c r="W19" s="80">
        <f t="shared" si="6"/>
        <v>418019.99905593443</v>
      </c>
    </row>
    <row r="20" spans="1:23">
      <c r="A20" s="25">
        <v>16.309999999999999</v>
      </c>
      <c r="B20" s="25" t="str">
        <f t="shared" si="2"/>
        <v/>
      </c>
      <c r="C20" s="152" t="str">
        <f t="shared" si="15"/>
        <v/>
      </c>
      <c r="D20" s="27" t="e">
        <f t="shared" si="13"/>
        <v>#VALUE!</v>
      </c>
      <c r="E20" s="159" t="e">
        <f t="shared" si="7"/>
        <v>#VALUE!</v>
      </c>
      <c r="F20" s="152">
        <f t="shared" si="4"/>
        <v>6.3583333333334553E-3</v>
      </c>
      <c r="G20" s="155" t="e">
        <f t="shared" si="1"/>
        <v>#VALUE!</v>
      </c>
      <c r="H20" s="159" t="e">
        <f t="shared" si="8"/>
        <v>#VALUE!</v>
      </c>
      <c r="I20" s="160"/>
      <c r="J20" s="25">
        <v>16.309999999999999</v>
      </c>
      <c r="M20" s="25">
        <v>16.36</v>
      </c>
      <c r="N20" s="25">
        <v>26.91</v>
      </c>
      <c r="S20" s="17">
        <f t="shared" si="14"/>
        <v>92843.999811186892</v>
      </c>
      <c r="T20" s="185">
        <f t="shared" si="10"/>
        <v>18568.799962237379</v>
      </c>
      <c r="U20" s="80">
        <f t="shared" si="5"/>
        <v>74275.199848949516</v>
      </c>
      <c r="V20" s="80">
        <f>SUM($U$2:U20)</f>
        <v>400051.19909369707</v>
      </c>
      <c r="W20" s="80">
        <f t="shared" si="6"/>
        <v>511463.99886712129</v>
      </c>
    </row>
    <row r="21" spans="1:23">
      <c r="A21" s="25">
        <v>16.3</v>
      </c>
      <c r="B21" s="25" t="str">
        <f t="shared" si="2"/>
        <v/>
      </c>
      <c r="C21" s="152" t="str">
        <f t="shared" si="15"/>
        <v/>
      </c>
      <c r="D21" s="27" t="e">
        <f t="shared" si="13"/>
        <v>#VALUE!</v>
      </c>
      <c r="E21" s="159" t="e">
        <f t="shared" si="7"/>
        <v>#VALUE!</v>
      </c>
      <c r="F21" s="152">
        <f t="shared" si="4"/>
        <v>6.9333333333333694E-3</v>
      </c>
      <c r="G21" s="155" t="e">
        <f t="shared" si="1"/>
        <v>#VALUE!</v>
      </c>
      <c r="H21" s="159" t="e">
        <f t="shared" si="8"/>
        <v>#VALUE!</v>
      </c>
      <c r="I21" s="160"/>
      <c r="J21" s="25">
        <v>16.3</v>
      </c>
      <c r="M21" s="25">
        <v>16.46</v>
      </c>
      <c r="N21" s="25">
        <v>26.72</v>
      </c>
      <c r="S21" s="17">
        <f t="shared" si="14"/>
        <v>112012.79977342427</v>
      </c>
      <c r="T21" s="185">
        <f t="shared" si="10"/>
        <v>22402.559954684853</v>
      </c>
      <c r="U21" s="80">
        <f t="shared" si="5"/>
        <v>89610.239818739414</v>
      </c>
      <c r="V21" s="80">
        <f>SUM($U$2:U21)</f>
        <v>489661.43891243648</v>
      </c>
      <c r="W21" s="80">
        <f t="shared" si="6"/>
        <v>624076.79864054557</v>
      </c>
    </row>
    <row r="22" spans="1:23">
      <c r="A22" s="25">
        <v>16.420000000000002</v>
      </c>
      <c r="B22" s="25" t="str">
        <f t="shared" si="2"/>
        <v/>
      </c>
      <c r="C22" s="152" t="str">
        <f t="shared" si="15"/>
        <v/>
      </c>
      <c r="D22" s="27" t="e">
        <f t="shared" si="13"/>
        <v>#VALUE!</v>
      </c>
      <c r="E22" s="159" t="e">
        <f t="shared" si="7"/>
        <v>#VALUE!</v>
      </c>
      <c r="F22" s="152">
        <f t="shared" si="4"/>
        <v>7.9999999999996589E-4</v>
      </c>
      <c r="G22" s="155" t="e">
        <f t="shared" si="1"/>
        <v>#VALUE!</v>
      </c>
      <c r="H22" s="159" t="e">
        <f t="shared" si="8"/>
        <v>#VALUE!</v>
      </c>
      <c r="I22" s="160"/>
      <c r="J22" s="25">
        <v>16.420000000000002</v>
      </c>
      <c r="S22" s="17">
        <f t="shared" si="14"/>
        <v>135015.35972810912</v>
      </c>
      <c r="T22" s="185">
        <f t="shared" si="10"/>
        <v>27003.071945621825</v>
      </c>
      <c r="U22" s="80">
        <f t="shared" si="5"/>
        <v>108012.2877824873</v>
      </c>
      <c r="V22" s="80">
        <f>SUM($U$2:U22)</f>
        <v>597673.72669492383</v>
      </c>
      <c r="W22" s="80">
        <f t="shared" si="6"/>
        <v>759692.15836865478</v>
      </c>
    </row>
    <row r="23" spans="1:23">
      <c r="A23" s="25">
        <v>16.46</v>
      </c>
      <c r="B23" s="25" t="str">
        <f t="shared" si="2"/>
        <v/>
      </c>
      <c r="C23" s="152" t="str">
        <f t="shared" si="15"/>
        <v/>
      </c>
      <c r="D23" s="27" t="e">
        <f t="shared" si="13"/>
        <v>#VALUE!</v>
      </c>
      <c r="E23" s="159" t="e">
        <f t="shared" si="7"/>
        <v>#VALUE!</v>
      </c>
      <c r="F23" s="152" t="e">
        <f t="shared" si="4"/>
        <v>#DIV/0!</v>
      </c>
      <c r="G23" s="155" t="e">
        <f t="shared" si="1"/>
        <v>#DIV/0!</v>
      </c>
      <c r="H23" s="159" t="e">
        <f t="shared" si="8"/>
        <v>#DIV/0!</v>
      </c>
      <c r="I23" s="160"/>
      <c r="J23" s="25">
        <v>16.46</v>
      </c>
    </row>
    <row r="24" spans="1:23">
      <c r="B24" s="25" t="str">
        <f t="shared" si="2"/>
        <v/>
      </c>
      <c r="C24" s="152" t="str">
        <f t="shared" si="15"/>
        <v/>
      </c>
      <c r="D24" s="27" t="e">
        <f t="shared" si="13"/>
        <v>#VALUE!</v>
      </c>
      <c r="E24" s="159" t="e">
        <f t="shared" si="7"/>
        <v>#VALUE!</v>
      </c>
      <c r="F24" s="152" t="e">
        <f t="shared" si="4"/>
        <v>#DIV/0!</v>
      </c>
      <c r="G24" s="155" t="e">
        <f t="shared" si="1"/>
        <v>#DIV/0!</v>
      </c>
      <c r="H24" s="159" t="e">
        <f t="shared" si="8"/>
        <v>#DIV/0!</v>
      </c>
      <c r="I24" s="160"/>
    </row>
    <row r="25" spans="1:23">
      <c r="B25" s="25" t="str">
        <f t="shared" si="2"/>
        <v/>
      </c>
      <c r="C25" s="152" t="str">
        <f t="shared" si="15"/>
        <v/>
      </c>
      <c r="D25" s="27" t="e">
        <f t="shared" si="13"/>
        <v>#VALUE!</v>
      </c>
      <c r="E25" s="159" t="e">
        <f t="shared" si="7"/>
        <v>#VALUE!</v>
      </c>
      <c r="F25" s="152" t="e">
        <f t="shared" si="4"/>
        <v>#DIV/0!</v>
      </c>
      <c r="G25" s="155" t="e">
        <f t="shared" si="1"/>
        <v>#DIV/0!</v>
      </c>
      <c r="H25" s="159" t="e">
        <f t="shared" si="8"/>
        <v>#DIV/0!</v>
      </c>
      <c r="I25" s="160"/>
    </row>
    <row r="26" spans="1:23">
      <c r="B26" s="25" t="str">
        <f t="shared" si="2"/>
        <v/>
      </c>
      <c r="C26" s="152" t="str">
        <f t="shared" si="15"/>
        <v/>
      </c>
      <c r="D26" s="27" t="e">
        <f t="shared" si="13"/>
        <v>#VALUE!</v>
      </c>
      <c r="E26" s="159" t="e">
        <f t="shared" si="7"/>
        <v>#VALUE!</v>
      </c>
      <c r="F26" s="152" t="e">
        <f t="shared" si="4"/>
        <v>#DIV/0!</v>
      </c>
      <c r="G26" s="155" t="e">
        <f t="shared" si="1"/>
        <v>#DIV/0!</v>
      </c>
      <c r="H26" s="159" t="e">
        <f t="shared" si="8"/>
        <v>#DIV/0!</v>
      </c>
      <c r="I26" s="160"/>
    </row>
    <row r="27" spans="1:23">
      <c r="B27" s="25" t="str">
        <f t="shared" si="2"/>
        <v/>
      </c>
      <c r="C27" s="152" t="str">
        <f t="shared" si="15"/>
        <v/>
      </c>
      <c r="D27" s="27" t="e">
        <f t="shared" si="13"/>
        <v>#VALUE!</v>
      </c>
      <c r="E27" s="159" t="e">
        <f t="shared" si="7"/>
        <v>#VALUE!</v>
      </c>
      <c r="F27" s="152" t="e">
        <f t="shared" si="4"/>
        <v>#DIV/0!</v>
      </c>
      <c r="G27" s="155" t="e">
        <f t="shared" si="1"/>
        <v>#DIV/0!</v>
      </c>
      <c r="H27" s="159" t="e">
        <f t="shared" si="8"/>
        <v>#DIV/0!</v>
      </c>
      <c r="I27" s="160"/>
    </row>
    <row r="28" spans="1:23">
      <c r="B28" s="25" t="str">
        <f t="shared" si="2"/>
        <v/>
      </c>
      <c r="C28" s="152" t="str">
        <f t="shared" si="15"/>
        <v/>
      </c>
      <c r="D28" s="27" t="e">
        <f t="shared" si="13"/>
        <v>#VALUE!</v>
      </c>
      <c r="E28" s="159" t="e">
        <f t="shared" si="7"/>
        <v>#VALUE!</v>
      </c>
      <c r="F28" s="152" t="e">
        <f t="shared" si="4"/>
        <v>#DIV/0!</v>
      </c>
      <c r="G28" s="155" t="e">
        <f t="shared" si="1"/>
        <v>#DIV/0!</v>
      </c>
      <c r="H28" s="159" t="e">
        <f t="shared" si="8"/>
        <v>#DIV/0!</v>
      </c>
      <c r="I28" s="160"/>
    </row>
    <row r="29" spans="1:23">
      <c r="B29" s="25" t="str">
        <f t="shared" si="2"/>
        <v/>
      </c>
      <c r="C29" s="152" t="str">
        <f t="shared" si="15"/>
        <v/>
      </c>
      <c r="D29" s="27" t="e">
        <f t="shared" si="13"/>
        <v>#VALUE!</v>
      </c>
      <c r="E29" s="159" t="e">
        <f t="shared" si="7"/>
        <v>#VALUE!</v>
      </c>
      <c r="F29" s="152" t="e">
        <f t="shared" si="4"/>
        <v>#DIV/0!</v>
      </c>
      <c r="G29" s="155" t="e">
        <f t="shared" si="1"/>
        <v>#DIV/0!</v>
      </c>
      <c r="H29" s="159" t="e">
        <f t="shared" si="8"/>
        <v>#DIV/0!</v>
      </c>
      <c r="I29" s="160"/>
    </row>
    <row r="30" spans="1:23">
      <c r="B30" s="25" t="str">
        <f t="shared" si="2"/>
        <v/>
      </c>
      <c r="C30" s="152" t="str">
        <f t="shared" si="15"/>
        <v/>
      </c>
      <c r="D30" s="27" t="e">
        <f t="shared" si="13"/>
        <v>#VALUE!</v>
      </c>
      <c r="E30" s="159" t="e">
        <f t="shared" si="7"/>
        <v>#VALUE!</v>
      </c>
      <c r="F30" s="152" t="e">
        <f t="shared" si="4"/>
        <v>#DIV/0!</v>
      </c>
      <c r="G30" s="155" t="e">
        <f t="shared" si="1"/>
        <v>#DIV/0!</v>
      </c>
      <c r="H30" s="159" t="e">
        <f t="shared" si="8"/>
        <v>#DIV/0!</v>
      </c>
      <c r="I30" s="160"/>
    </row>
    <row r="31" spans="1:23">
      <c r="B31" s="25" t="str">
        <f t="shared" si="2"/>
        <v/>
      </c>
      <c r="C31" s="152" t="str">
        <f t="shared" si="15"/>
        <v/>
      </c>
      <c r="D31" s="27" t="e">
        <f t="shared" si="13"/>
        <v>#VALUE!</v>
      </c>
      <c r="E31" s="159" t="e">
        <f t="shared" si="7"/>
        <v>#VALUE!</v>
      </c>
      <c r="F31" s="152" t="e">
        <f t="shared" si="4"/>
        <v>#DIV/0!</v>
      </c>
      <c r="G31" s="155" t="e">
        <f t="shared" si="1"/>
        <v>#DIV/0!</v>
      </c>
      <c r="H31" s="159" t="e">
        <f t="shared" si="8"/>
        <v>#DIV/0!</v>
      </c>
      <c r="I31" s="160"/>
    </row>
    <row r="32" spans="1:23">
      <c r="B32" s="25" t="str">
        <f t="shared" si="2"/>
        <v/>
      </c>
      <c r="C32" s="152" t="str">
        <f t="shared" si="15"/>
        <v/>
      </c>
      <c r="D32" s="27" t="e">
        <f t="shared" si="13"/>
        <v>#VALUE!</v>
      </c>
      <c r="E32" s="159" t="e">
        <f t="shared" si="7"/>
        <v>#VALUE!</v>
      </c>
      <c r="F32" s="152" t="e">
        <f t="shared" si="4"/>
        <v>#DIV/0!</v>
      </c>
      <c r="G32" s="155" t="e">
        <f t="shared" si="1"/>
        <v>#DIV/0!</v>
      </c>
      <c r="H32" s="159" t="e">
        <f t="shared" si="8"/>
        <v>#DIV/0!</v>
      </c>
      <c r="I32" s="160"/>
    </row>
    <row r="33" spans="2:9">
      <c r="B33" s="25" t="str">
        <f t="shared" si="2"/>
        <v/>
      </c>
      <c r="C33" s="152" t="str">
        <f t="shared" si="15"/>
        <v/>
      </c>
      <c r="D33" s="27" t="e">
        <f t="shared" si="13"/>
        <v>#VALUE!</v>
      </c>
      <c r="E33" s="159" t="e">
        <f t="shared" si="7"/>
        <v>#VALUE!</v>
      </c>
      <c r="F33" s="152" t="e">
        <f t="shared" si="4"/>
        <v>#DIV/0!</v>
      </c>
      <c r="G33" s="155" t="e">
        <f t="shared" si="1"/>
        <v>#DIV/0!</v>
      </c>
      <c r="H33" s="159" t="e">
        <f t="shared" si="8"/>
        <v>#DIV/0!</v>
      </c>
      <c r="I33" s="160"/>
    </row>
    <row r="34" spans="2:9">
      <c r="B34" s="25" t="str">
        <f t="shared" si="2"/>
        <v/>
      </c>
      <c r="C34" s="152" t="str">
        <f t="shared" si="15"/>
        <v/>
      </c>
      <c r="D34" s="27" t="e">
        <f t="shared" ref="D34:D49" si="16">C34/B34</f>
        <v>#VALUE!</v>
      </c>
      <c r="E34" s="159" t="e">
        <f t="shared" si="7"/>
        <v>#VALUE!</v>
      </c>
      <c r="F34" s="152" t="e">
        <f t="shared" si="4"/>
        <v>#DIV/0!</v>
      </c>
      <c r="G34" s="155" t="e">
        <f t="shared" ref="G34:G65" si="17">F34/B34</f>
        <v>#DIV/0!</v>
      </c>
      <c r="H34" s="159" t="e">
        <f t="shared" si="8"/>
        <v>#DIV/0!</v>
      </c>
      <c r="I34" s="160"/>
    </row>
    <row r="35" spans="2:9">
      <c r="B35" s="25" t="str">
        <f t="shared" si="2"/>
        <v/>
      </c>
      <c r="C35" s="152" t="str">
        <f t="shared" si="15"/>
        <v/>
      </c>
      <c r="D35" s="27" t="e">
        <f t="shared" si="16"/>
        <v>#VALUE!</v>
      </c>
      <c r="E35" s="159" t="e">
        <f t="shared" si="7"/>
        <v>#VALUE!</v>
      </c>
      <c r="F35" s="152" t="e">
        <f t="shared" si="4"/>
        <v>#DIV/0!</v>
      </c>
      <c r="G35" s="155" t="e">
        <f t="shared" si="17"/>
        <v>#DIV/0!</v>
      </c>
      <c r="H35" s="159" t="e">
        <f t="shared" si="8"/>
        <v>#DIV/0!</v>
      </c>
      <c r="I35" s="160"/>
    </row>
    <row r="36" spans="2:9">
      <c r="B36" s="25" t="str">
        <f t="shared" si="2"/>
        <v/>
      </c>
      <c r="C36" s="152" t="str">
        <f t="shared" si="15"/>
        <v/>
      </c>
      <c r="D36" s="27" t="e">
        <f t="shared" si="16"/>
        <v>#VALUE!</v>
      </c>
      <c r="E36" s="159" t="e">
        <f t="shared" si="7"/>
        <v>#VALUE!</v>
      </c>
      <c r="F36" s="152" t="e">
        <f t="shared" si="4"/>
        <v>#DIV/0!</v>
      </c>
      <c r="G36" s="155" t="e">
        <f t="shared" si="17"/>
        <v>#DIV/0!</v>
      </c>
      <c r="H36" s="159" t="e">
        <f t="shared" si="8"/>
        <v>#DIV/0!</v>
      </c>
      <c r="I36" s="160"/>
    </row>
    <row r="37" spans="2:9">
      <c r="B37" s="25" t="str">
        <f t="shared" si="2"/>
        <v/>
      </c>
      <c r="C37" s="152" t="str">
        <f t="shared" si="15"/>
        <v/>
      </c>
      <c r="D37" s="27" t="e">
        <f t="shared" si="16"/>
        <v>#VALUE!</v>
      </c>
      <c r="E37" s="159" t="e">
        <f t="shared" si="7"/>
        <v>#VALUE!</v>
      </c>
      <c r="F37" s="152" t="e">
        <f t="shared" si="4"/>
        <v>#DIV/0!</v>
      </c>
      <c r="G37" s="155" t="e">
        <f t="shared" si="17"/>
        <v>#DIV/0!</v>
      </c>
      <c r="H37" s="159" t="e">
        <f t="shared" si="8"/>
        <v>#DIV/0!</v>
      </c>
      <c r="I37" s="160"/>
    </row>
    <row r="38" spans="2:9">
      <c r="B38" s="25" t="str">
        <f t="shared" si="2"/>
        <v/>
      </c>
      <c r="C38" s="152" t="str">
        <f t="shared" si="15"/>
        <v/>
      </c>
      <c r="D38" s="27" t="e">
        <f t="shared" si="16"/>
        <v>#VALUE!</v>
      </c>
      <c r="E38" s="159" t="e">
        <f t="shared" si="7"/>
        <v>#VALUE!</v>
      </c>
      <c r="F38" s="152" t="e">
        <f t="shared" si="4"/>
        <v>#DIV/0!</v>
      </c>
      <c r="G38" s="155" t="e">
        <f t="shared" si="17"/>
        <v>#DIV/0!</v>
      </c>
      <c r="H38" s="159" t="e">
        <f t="shared" si="8"/>
        <v>#DIV/0!</v>
      </c>
      <c r="I38" s="160"/>
    </row>
    <row r="39" spans="2:9">
      <c r="B39" s="25" t="str">
        <f t="shared" si="2"/>
        <v/>
      </c>
      <c r="C39" s="152" t="str">
        <f t="shared" si="15"/>
        <v/>
      </c>
      <c r="D39" s="27" t="e">
        <f t="shared" si="16"/>
        <v>#VALUE!</v>
      </c>
      <c r="E39" s="159" t="e">
        <f t="shared" si="7"/>
        <v>#VALUE!</v>
      </c>
      <c r="F39" s="152" t="e">
        <f t="shared" si="4"/>
        <v>#DIV/0!</v>
      </c>
      <c r="G39" s="155" t="e">
        <f t="shared" si="17"/>
        <v>#DIV/0!</v>
      </c>
      <c r="H39" s="159" t="e">
        <f t="shared" si="8"/>
        <v>#DIV/0!</v>
      </c>
      <c r="I39" s="160"/>
    </row>
    <row r="40" spans="2:9">
      <c r="B40" s="25" t="str">
        <f t="shared" si="2"/>
        <v/>
      </c>
      <c r="C40" s="152" t="str">
        <f t="shared" si="15"/>
        <v/>
      </c>
      <c r="D40" s="27" t="e">
        <f t="shared" si="16"/>
        <v>#VALUE!</v>
      </c>
      <c r="E40" s="159" t="e">
        <f t="shared" si="7"/>
        <v>#VALUE!</v>
      </c>
      <c r="F40" s="152" t="e">
        <f t="shared" si="4"/>
        <v>#DIV/0!</v>
      </c>
      <c r="G40" s="155" t="e">
        <f t="shared" si="17"/>
        <v>#DIV/0!</v>
      </c>
      <c r="H40" s="159" t="e">
        <f t="shared" si="8"/>
        <v>#DIV/0!</v>
      </c>
      <c r="I40" s="160"/>
    </row>
    <row r="41" spans="2:9">
      <c r="B41" s="25" t="str">
        <f t="shared" si="2"/>
        <v/>
      </c>
      <c r="C41" s="152" t="str">
        <f t="shared" si="15"/>
        <v/>
      </c>
      <c r="D41" s="27" t="e">
        <f t="shared" si="16"/>
        <v>#VALUE!</v>
      </c>
      <c r="E41" s="159" t="e">
        <f t="shared" si="7"/>
        <v>#VALUE!</v>
      </c>
      <c r="F41" s="152" t="e">
        <f t="shared" si="4"/>
        <v>#DIV/0!</v>
      </c>
      <c r="G41" s="155" t="e">
        <f t="shared" si="17"/>
        <v>#DIV/0!</v>
      </c>
      <c r="H41" s="159" t="e">
        <f t="shared" si="8"/>
        <v>#DIV/0!</v>
      </c>
      <c r="I41" s="160"/>
    </row>
    <row r="42" spans="2:9">
      <c r="B42" s="25" t="str">
        <f t="shared" si="2"/>
        <v/>
      </c>
      <c r="C42" s="152" t="str">
        <f t="shared" si="15"/>
        <v/>
      </c>
      <c r="D42" s="27" t="e">
        <f t="shared" si="16"/>
        <v>#VALUE!</v>
      </c>
      <c r="E42" s="159" t="e">
        <f t="shared" si="7"/>
        <v>#VALUE!</v>
      </c>
      <c r="F42" s="152" t="e">
        <f t="shared" si="4"/>
        <v>#DIV/0!</v>
      </c>
      <c r="G42" s="155" t="e">
        <f t="shared" si="17"/>
        <v>#DIV/0!</v>
      </c>
      <c r="H42" s="159" t="e">
        <f t="shared" si="8"/>
        <v>#DIV/0!</v>
      </c>
      <c r="I42" s="160"/>
    </row>
    <row r="43" spans="2:9">
      <c r="B43" s="25" t="str">
        <f t="shared" si="2"/>
        <v/>
      </c>
      <c r="C43" s="152" t="str">
        <f t="shared" si="15"/>
        <v/>
      </c>
      <c r="D43" s="27" t="e">
        <f t="shared" si="16"/>
        <v>#VALUE!</v>
      </c>
      <c r="E43" s="159" t="e">
        <f t="shared" si="7"/>
        <v>#VALUE!</v>
      </c>
      <c r="F43" s="152" t="e">
        <f t="shared" si="4"/>
        <v>#DIV/0!</v>
      </c>
      <c r="G43" s="155" t="e">
        <f t="shared" si="17"/>
        <v>#DIV/0!</v>
      </c>
      <c r="H43" s="159" t="e">
        <f t="shared" si="8"/>
        <v>#DIV/0!</v>
      </c>
      <c r="I43" s="160"/>
    </row>
    <row r="44" spans="2:9">
      <c r="B44" s="25" t="str">
        <f t="shared" si="2"/>
        <v/>
      </c>
      <c r="C44" s="152" t="str">
        <f t="shared" si="15"/>
        <v/>
      </c>
      <c r="D44" s="27" t="e">
        <f t="shared" si="16"/>
        <v>#VALUE!</v>
      </c>
      <c r="E44" s="159" t="e">
        <f t="shared" si="7"/>
        <v>#VALUE!</v>
      </c>
      <c r="F44" s="152" t="e">
        <f t="shared" si="4"/>
        <v>#DIV/0!</v>
      </c>
      <c r="G44" s="155" t="e">
        <f t="shared" si="17"/>
        <v>#DIV/0!</v>
      </c>
      <c r="H44" s="159" t="e">
        <f t="shared" si="8"/>
        <v>#DIV/0!</v>
      </c>
      <c r="I44" s="160"/>
    </row>
    <row r="45" spans="2:9">
      <c r="B45" s="25" t="str">
        <f t="shared" si="2"/>
        <v/>
      </c>
      <c r="C45" s="152" t="str">
        <f t="shared" si="15"/>
        <v/>
      </c>
      <c r="D45" s="27" t="e">
        <f t="shared" si="16"/>
        <v>#VALUE!</v>
      </c>
      <c r="E45" s="159" t="e">
        <f t="shared" si="7"/>
        <v>#VALUE!</v>
      </c>
      <c r="F45" s="152" t="e">
        <f t="shared" si="4"/>
        <v>#DIV/0!</v>
      </c>
      <c r="G45" s="155" t="e">
        <f t="shared" si="17"/>
        <v>#DIV/0!</v>
      </c>
      <c r="H45" s="159" t="e">
        <f t="shared" si="8"/>
        <v>#DIV/0!</v>
      </c>
      <c r="I45" s="160"/>
    </row>
    <row r="46" spans="2:9">
      <c r="B46" s="25" t="str">
        <f t="shared" si="2"/>
        <v/>
      </c>
      <c r="C46" s="152" t="str">
        <f t="shared" si="15"/>
        <v/>
      </c>
      <c r="D46" s="27" t="e">
        <f t="shared" si="16"/>
        <v>#VALUE!</v>
      </c>
      <c r="E46" s="159" t="e">
        <f t="shared" si="7"/>
        <v>#VALUE!</v>
      </c>
      <c r="F46" s="152" t="e">
        <f t="shared" si="4"/>
        <v>#DIV/0!</v>
      </c>
      <c r="G46" s="155" t="e">
        <f t="shared" si="17"/>
        <v>#DIV/0!</v>
      </c>
      <c r="H46" s="159" t="e">
        <f t="shared" si="8"/>
        <v>#DIV/0!</v>
      </c>
      <c r="I46" s="160"/>
    </row>
    <row r="47" spans="2:9">
      <c r="B47" s="25" t="str">
        <f t="shared" si="2"/>
        <v/>
      </c>
      <c r="C47" s="152" t="str">
        <f t="shared" si="15"/>
        <v/>
      </c>
      <c r="D47" s="27" t="e">
        <f t="shared" si="16"/>
        <v>#VALUE!</v>
      </c>
      <c r="E47" s="159" t="e">
        <f t="shared" si="7"/>
        <v>#VALUE!</v>
      </c>
      <c r="F47" s="152" t="e">
        <f t="shared" si="4"/>
        <v>#DIV/0!</v>
      </c>
      <c r="G47" s="155" t="e">
        <f t="shared" si="17"/>
        <v>#DIV/0!</v>
      </c>
      <c r="H47" s="159" t="e">
        <f t="shared" si="8"/>
        <v>#DIV/0!</v>
      </c>
      <c r="I47" s="160"/>
    </row>
    <row r="48" spans="2:9">
      <c r="B48" s="25" t="str">
        <f t="shared" si="2"/>
        <v/>
      </c>
      <c r="C48" s="152" t="str">
        <f t="shared" si="15"/>
        <v/>
      </c>
      <c r="D48" s="27" t="e">
        <f t="shared" si="16"/>
        <v>#VALUE!</v>
      </c>
      <c r="E48" s="159" t="e">
        <f t="shared" si="7"/>
        <v>#VALUE!</v>
      </c>
      <c r="F48" s="152" t="e">
        <f t="shared" si="4"/>
        <v>#DIV/0!</v>
      </c>
      <c r="G48" s="155" t="e">
        <f t="shared" si="17"/>
        <v>#DIV/0!</v>
      </c>
      <c r="H48" s="159" t="e">
        <f t="shared" si="8"/>
        <v>#DIV/0!</v>
      </c>
      <c r="I48" s="160"/>
    </row>
    <row r="49" spans="2:9">
      <c r="B49" s="25" t="str">
        <f t="shared" si="2"/>
        <v/>
      </c>
      <c r="C49" s="152" t="str">
        <f t="shared" si="15"/>
        <v/>
      </c>
      <c r="D49" s="27" t="e">
        <f t="shared" si="16"/>
        <v>#VALUE!</v>
      </c>
      <c r="E49" s="159" t="e">
        <f t="shared" si="7"/>
        <v>#VALUE!</v>
      </c>
      <c r="F49" s="152" t="e">
        <f t="shared" si="4"/>
        <v>#DIV/0!</v>
      </c>
      <c r="G49" s="155" t="e">
        <f t="shared" si="17"/>
        <v>#DIV/0!</v>
      </c>
      <c r="H49" s="159" t="e">
        <f t="shared" si="8"/>
        <v>#DIV/0!</v>
      </c>
      <c r="I49" s="160"/>
    </row>
    <row r="50" spans="2:9">
      <c r="B50" s="25" t="str">
        <f t="shared" si="2"/>
        <v/>
      </c>
      <c r="C50" s="152" t="str">
        <f t="shared" si="15"/>
        <v/>
      </c>
      <c r="D50" s="27" t="e">
        <f t="shared" ref="D50:D61" si="18">C50/B50</f>
        <v>#VALUE!</v>
      </c>
      <c r="E50" s="159" t="e">
        <f t="shared" si="7"/>
        <v>#VALUE!</v>
      </c>
      <c r="F50" s="152" t="e">
        <f t="shared" si="4"/>
        <v>#DIV/0!</v>
      </c>
      <c r="G50" s="155" t="e">
        <f t="shared" si="17"/>
        <v>#DIV/0!</v>
      </c>
      <c r="H50" s="159" t="e">
        <f t="shared" si="8"/>
        <v>#DIV/0!</v>
      </c>
      <c r="I50" s="160"/>
    </row>
    <row r="51" spans="2:9">
      <c r="B51" s="25" t="str">
        <f t="shared" si="2"/>
        <v/>
      </c>
      <c r="C51" s="152" t="str">
        <f t="shared" ref="C51:C80" si="19">IF(B51="","",STDEV(A51:A59))</f>
        <v/>
      </c>
      <c r="D51" s="27" t="e">
        <f t="shared" si="18"/>
        <v>#VALUE!</v>
      </c>
      <c r="E51" s="159" t="e">
        <f t="shared" si="7"/>
        <v>#VALUE!</v>
      </c>
      <c r="F51" s="152" t="e">
        <f t="shared" si="4"/>
        <v>#DIV/0!</v>
      </c>
      <c r="G51" s="155" t="e">
        <f t="shared" si="17"/>
        <v>#DIV/0!</v>
      </c>
      <c r="H51" s="159" t="e">
        <f t="shared" si="8"/>
        <v>#DIV/0!</v>
      </c>
      <c r="I51" s="160"/>
    </row>
    <row r="52" spans="2:9">
      <c r="B52" s="25" t="str">
        <f t="shared" si="2"/>
        <v/>
      </c>
      <c r="C52" s="152" t="str">
        <f t="shared" si="19"/>
        <v/>
      </c>
      <c r="D52" s="27" t="e">
        <f t="shared" si="18"/>
        <v>#VALUE!</v>
      </c>
      <c r="E52" s="159" t="e">
        <f t="shared" si="7"/>
        <v>#VALUE!</v>
      </c>
      <c r="F52" s="152" t="e">
        <f t="shared" si="4"/>
        <v>#DIV/0!</v>
      </c>
      <c r="G52" s="155" t="e">
        <f t="shared" si="17"/>
        <v>#DIV/0!</v>
      </c>
      <c r="H52" s="159" t="e">
        <f t="shared" si="8"/>
        <v>#DIV/0!</v>
      </c>
      <c r="I52" s="160"/>
    </row>
    <row r="53" spans="2:9">
      <c r="B53" s="25" t="str">
        <f t="shared" si="2"/>
        <v/>
      </c>
      <c r="C53" s="152" t="str">
        <f t="shared" si="19"/>
        <v/>
      </c>
      <c r="D53" s="27" t="e">
        <f t="shared" si="18"/>
        <v>#VALUE!</v>
      </c>
      <c r="E53" s="159" t="e">
        <f t="shared" si="7"/>
        <v>#VALUE!</v>
      </c>
      <c r="F53" s="152" t="e">
        <f t="shared" si="4"/>
        <v>#DIV/0!</v>
      </c>
      <c r="G53" s="155" t="e">
        <f t="shared" si="17"/>
        <v>#DIV/0!</v>
      </c>
      <c r="H53" s="159" t="e">
        <f t="shared" si="8"/>
        <v>#DIV/0!</v>
      </c>
      <c r="I53" s="160"/>
    </row>
    <row r="54" spans="2:9">
      <c r="B54" s="25" t="str">
        <f t="shared" si="2"/>
        <v/>
      </c>
      <c r="C54" s="152" t="str">
        <f t="shared" si="19"/>
        <v/>
      </c>
      <c r="D54" s="27" t="e">
        <f t="shared" si="18"/>
        <v>#VALUE!</v>
      </c>
      <c r="E54" s="159" t="e">
        <f t="shared" si="7"/>
        <v>#VALUE!</v>
      </c>
      <c r="F54" s="152" t="e">
        <f t="shared" si="4"/>
        <v>#DIV/0!</v>
      </c>
      <c r="G54" s="155" t="e">
        <f t="shared" si="17"/>
        <v>#DIV/0!</v>
      </c>
      <c r="H54" s="159" t="e">
        <f t="shared" si="8"/>
        <v>#DIV/0!</v>
      </c>
      <c r="I54" s="160"/>
    </row>
    <row r="55" spans="2:9">
      <c r="B55" s="25" t="str">
        <f t="shared" si="2"/>
        <v/>
      </c>
      <c r="C55" s="152" t="str">
        <f t="shared" si="19"/>
        <v/>
      </c>
      <c r="D55" s="27" t="e">
        <f t="shared" si="18"/>
        <v>#VALUE!</v>
      </c>
      <c r="E55" s="159" t="e">
        <f t="shared" si="7"/>
        <v>#VALUE!</v>
      </c>
      <c r="F55" s="152" t="e">
        <f t="shared" si="4"/>
        <v>#DIV/0!</v>
      </c>
      <c r="G55" s="155" t="e">
        <f t="shared" si="17"/>
        <v>#DIV/0!</v>
      </c>
      <c r="H55" s="159" t="e">
        <f t="shared" si="8"/>
        <v>#DIV/0!</v>
      </c>
      <c r="I55" s="160"/>
    </row>
    <row r="56" spans="2:9">
      <c r="B56" s="25" t="str">
        <f t="shared" si="2"/>
        <v/>
      </c>
      <c r="C56" s="152" t="str">
        <f t="shared" si="19"/>
        <v/>
      </c>
      <c r="D56" s="27" t="e">
        <f t="shared" si="18"/>
        <v>#VALUE!</v>
      </c>
      <c r="E56" s="159" t="e">
        <f t="shared" si="7"/>
        <v>#VALUE!</v>
      </c>
      <c r="F56" s="152" t="e">
        <f t="shared" si="4"/>
        <v>#DIV/0!</v>
      </c>
      <c r="G56" s="155" t="e">
        <f t="shared" si="17"/>
        <v>#DIV/0!</v>
      </c>
      <c r="H56" s="159" t="e">
        <f t="shared" si="8"/>
        <v>#DIV/0!</v>
      </c>
      <c r="I56" s="160"/>
    </row>
    <row r="57" spans="2:9">
      <c r="B57" s="25" t="str">
        <f t="shared" si="2"/>
        <v/>
      </c>
      <c r="C57" s="152" t="str">
        <f t="shared" si="19"/>
        <v/>
      </c>
      <c r="D57" s="27" t="e">
        <f t="shared" si="18"/>
        <v>#VALUE!</v>
      </c>
      <c r="E57" s="159" t="e">
        <f t="shared" si="7"/>
        <v>#VALUE!</v>
      </c>
      <c r="F57" s="152" t="e">
        <f t="shared" si="4"/>
        <v>#DIV/0!</v>
      </c>
      <c r="G57" s="155" t="e">
        <f t="shared" si="17"/>
        <v>#DIV/0!</v>
      </c>
      <c r="H57" s="159" t="e">
        <f t="shared" si="8"/>
        <v>#DIV/0!</v>
      </c>
      <c r="I57" s="160"/>
    </row>
    <row r="58" spans="2:9">
      <c r="B58" s="25" t="str">
        <f t="shared" si="2"/>
        <v/>
      </c>
      <c r="C58" s="152" t="str">
        <f t="shared" si="19"/>
        <v/>
      </c>
      <c r="D58" s="27" t="e">
        <f t="shared" si="18"/>
        <v>#VALUE!</v>
      </c>
      <c r="E58" s="159" t="e">
        <f t="shared" si="7"/>
        <v>#VALUE!</v>
      </c>
      <c r="F58" s="152" t="e">
        <f t="shared" si="4"/>
        <v>#DIV/0!</v>
      </c>
      <c r="G58" s="155" t="e">
        <f t="shared" si="17"/>
        <v>#DIV/0!</v>
      </c>
      <c r="H58" s="159" t="e">
        <f t="shared" si="8"/>
        <v>#DIV/0!</v>
      </c>
      <c r="I58" s="160"/>
    </row>
    <row r="59" spans="2:9">
      <c r="B59" s="25" t="str">
        <f t="shared" si="2"/>
        <v/>
      </c>
      <c r="C59" s="152" t="str">
        <f t="shared" si="19"/>
        <v/>
      </c>
      <c r="D59" s="27" t="e">
        <f t="shared" si="18"/>
        <v>#VALUE!</v>
      </c>
      <c r="E59" s="159" t="e">
        <f t="shared" si="7"/>
        <v>#VALUE!</v>
      </c>
      <c r="F59" s="152" t="e">
        <f t="shared" si="4"/>
        <v>#DIV/0!</v>
      </c>
      <c r="G59" s="155" t="e">
        <f t="shared" si="17"/>
        <v>#DIV/0!</v>
      </c>
      <c r="H59" s="159" t="e">
        <f t="shared" si="8"/>
        <v>#DIV/0!</v>
      </c>
      <c r="I59" s="160"/>
    </row>
    <row r="60" spans="2:9">
      <c r="B60" s="25" t="str">
        <f t="shared" si="2"/>
        <v/>
      </c>
      <c r="C60" s="152" t="str">
        <f t="shared" si="19"/>
        <v/>
      </c>
      <c r="D60" s="27" t="e">
        <f t="shared" si="18"/>
        <v>#VALUE!</v>
      </c>
      <c r="E60" s="159" t="e">
        <f t="shared" si="7"/>
        <v>#VALUE!</v>
      </c>
      <c r="F60" s="152" t="e">
        <f t="shared" si="4"/>
        <v>#DIV/0!</v>
      </c>
      <c r="G60" s="155" t="e">
        <f t="shared" si="17"/>
        <v>#DIV/0!</v>
      </c>
      <c r="H60" s="159" t="e">
        <f t="shared" si="8"/>
        <v>#DIV/0!</v>
      </c>
      <c r="I60" s="160"/>
    </row>
    <row r="61" spans="2:9">
      <c r="B61" s="25" t="str">
        <f t="shared" si="2"/>
        <v/>
      </c>
      <c r="C61" s="152" t="str">
        <f t="shared" si="19"/>
        <v/>
      </c>
      <c r="D61" s="27" t="e">
        <f t="shared" si="18"/>
        <v>#VALUE!</v>
      </c>
      <c r="E61" s="159" t="e">
        <f t="shared" si="7"/>
        <v>#VALUE!</v>
      </c>
      <c r="F61" s="152" t="e">
        <f t="shared" si="4"/>
        <v>#DIV/0!</v>
      </c>
      <c r="G61" s="155" t="e">
        <f t="shared" si="17"/>
        <v>#DIV/0!</v>
      </c>
      <c r="H61" s="159" t="e">
        <f t="shared" si="8"/>
        <v>#DIV/0!</v>
      </c>
      <c r="I61" s="160"/>
    </row>
    <row r="62" spans="2:9">
      <c r="B62" s="25" t="str">
        <f t="shared" si="2"/>
        <v/>
      </c>
      <c r="C62" s="152" t="str">
        <f t="shared" si="19"/>
        <v/>
      </c>
      <c r="D62" s="27" t="e">
        <f t="shared" ref="D62:D67" si="20">C62/B62</f>
        <v>#VALUE!</v>
      </c>
      <c r="E62" s="159" t="e">
        <f t="shared" si="7"/>
        <v>#VALUE!</v>
      </c>
      <c r="F62" s="152" t="e">
        <f t="shared" si="4"/>
        <v>#DIV/0!</v>
      </c>
      <c r="G62" s="155" t="e">
        <f t="shared" si="17"/>
        <v>#DIV/0!</v>
      </c>
      <c r="H62" s="159" t="e">
        <f t="shared" si="8"/>
        <v>#DIV/0!</v>
      </c>
      <c r="I62" s="160"/>
    </row>
    <row r="63" spans="2:9">
      <c r="B63" s="25" t="str">
        <f t="shared" si="2"/>
        <v/>
      </c>
      <c r="C63" s="152" t="str">
        <f t="shared" si="19"/>
        <v/>
      </c>
      <c r="D63" s="27" t="e">
        <f t="shared" si="20"/>
        <v>#VALUE!</v>
      </c>
      <c r="E63" s="159" t="e">
        <f t="shared" si="7"/>
        <v>#VALUE!</v>
      </c>
      <c r="F63" s="152" t="e">
        <f t="shared" si="4"/>
        <v>#DIV/0!</v>
      </c>
      <c r="G63" s="155" t="e">
        <f t="shared" si="17"/>
        <v>#DIV/0!</v>
      </c>
      <c r="H63" s="159" t="e">
        <f t="shared" si="8"/>
        <v>#DIV/0!</v>
      </c>
      <c r="I63" s="160"/>
    </row>
    <row r="64" spans="2:9">
      <c r="B64" s="25" t="str">
        <f t="shared" si="2"/>
        <v/>
      </c>
      <c r="C64" s="152" t="str">
        <f t="shared" si="19"/>
        <v/>
      </c>
      <c r="D64" s="27" t="e">
        <f t="shared" si="20"/>
        <v>#VALUE!</v>
      </c>
      <c r="E64" s="159" t="e">
        <f t="shared" si="7"/>
        <v>#VALUE!</v>
      </c>
      <c r="F64" s="152" t="e">
        <f t="shared" si="4"/>
        <v>#DIV/0!</v>
      </c>
      <c r="G64" s="155" t="e">
        <f t="shared" si="17"/>
        <v>#DIV/0!</v>
      </c>
      <c r="H64" s="159" t="e">
        <f t="shared" si="8"/>
        <v>#DIV/0!</v>
      </c>
      <c r="I64" s="160"/>
    </row>
    <row r="65" spans="2:9">
      <c r="B65" s="25" t="str">
        <f t="shared" si="2"/>
        <v/>
      </c>
      <c r="C65" s="152" t="str">
        <f t="shared" si="19"/>
        <v/>
      </c>
      <c r="D65" s="27" t="e">
        <f t="shared" si="20"/>
        <v>#VALUE!</v>
      </c>
      <c r="E65" s="159" t="e">
        <f t="shared" si="7"/>
        <v>#VALUE!</v>
      </c>
      <c r="F65" s="152" t="e">
        <f t="shared" si="4"/>
        <v>#DIV/0!</v>
      </c>
      <c r="G65" s="155" t="e">
        <f t="shared" si="17"/>
        <v>#DIV/0!</v>
      </c>
      <c r="H65" s="159" t="e">
        <f t="shared" si="8"/>
        <v>#DIV/0!</v>
      </c>
      <c r="I65" s="160"/>
    </row>
    <row r="66" spans="2:9">
      <c r="B66" s="25" t="str">
        <f t="shared" si="2"/>
        <v/>
      </c>
      <c r="C66" s="152" t="str">
        <f t="shared" si="19"/>
        <v/>
      </c>
      <c r="D66" s="27" t="e">
        <f t="shared" si="20"/>
        <v>#VALUE!</v>
      </c>
      <c r="E66" s="159" t="e">
        <f t="shared" si="7"/>
        <v>#VALUE!</v>
      </c>
      <c r="F66" s="152" t="e">
        <f t="shared" si="4"/>
        <v>#DIV/0!</v>
      </c>
      <c r="G66" s="155" t="e">
        <f t="shared" ref="G66:G80" si="21">F66/B66</f>
        <v>#DIV/0!</v>
      </c>
      <c r="H66" s="159" t="e">
        <f t="shared" si="8"/>
        <v>#DIV/0!</v>
      </c>
      <c r="I66" s="160"/>
    </row>
    <row r="67" spans="2:9">
      <c r="B67" s="25" t="str">
        <f t="shared" ref="B67:B80" si="22">IF(COUNTBLANK(A67:A75)&gt;0,"",AVERAGE(A67:A75))</f>
        <v/>
      </c>
      <c r="C67" s="152" t="str">
        <f t="shared" si="19"/>
        <v/>
      </c>
      <c r="D67" s="27" t="e">
        <f t="shared" si="20"/>
        <v>#VALUE!</v>
      </c>
      <c r="E67" s="159" t="e">
        <f t="shared" si="7"/>
        <v>#VALUE!</v>
      </c>
      <c r="F67" s="152" t="e">
        <f t="shared" ref="F67:F80" si="23">VAR(A67:A75)</f>
        <v>#DIV/0!</v>
      </c>
      <c r="G67" s="155" t="e">
        <f t="shared" si="21"/>
        <v>#DIV/0!</v>
      </c>
      <c r="H67" s="159" t="e">
        <f t="shared" si="8"/>
        <v>#DIV/0!</v>
      </c>
      <c r="I67" s="160"/>
    </row>
    <row r="68" spans="2:9">
      <c r="B68" s="25" t="str">
        <f t="shared" si="22"/>
        <v/>
      </c>
      <c r="C68" s="152" t="str">
        <f t="shared" si="19"/>
        <v/>
      </c>
      <c r="D68" s="27" t="e">
        <f t="shared" ref="D68:D80" si="24">C68/B68</f>
        <v>#VALUE!</v>
      </c>
      <c r="E68" s="159" t="e">
        <f t="shared" ref="E68:E80" si="25">D68/D67</f>
        <v>#VALUE!</v>
      </c>
      <c r="F68" s="152" t="e">
        <f t="shared" si="23"/>
        <v>#DIV/0!</v>
      </c>
      <c r="G68" s="155" t="e">
        <f t="shared" si="21"/>
        <v>#DIV/0!</v>
      </c>
      <c r="H68" s="159" t="e">
        <f t="shared" si="8"/>
        <v>#DIV/0!</v>
      </c>
      <c r="I68" s="160"/>
    </row>
    <row r="69" spans="2:9">
      <c r="B69" s="25" t="str">
        <f t="shared" si="22"/>
        <v/>
      </c>
      <c r="C69" s="152" t="str">
        <f t="shared" si="19"/>
        <v/>
      </c>
      <c r="D69" s="27" t="e">
        <f t="shared" si="24"/>
        <v>#VALUE!</v>
      </c>
      <c r="E69" s="159" t="e">
        <f t="shared" si="25"/>
        <v>#VALUE!</v>
      </c>
      <c r="F69" s="152" t="e">
        <f t="shared" si="23"/>
        <v>#DIV/0!</v>
      </c>
      <c r="G69" s="155" t="e">
        <f t="shared" si="21"/>
        <v>#DIV/0!</v>
      </c>
      <c r="H69" s="159" t="e">
        <f t="shared" ref="H69:H80" si="26">ROUND(G69/G68,2)</f>
        <v>#DIV/0!</v>
      </c>
      <c r="I69" s="160"/>
    </row>
    <row r="70" spans="2:9">
      <c r="B70" s="25" t="str">
        <f t="shared" si="22"/>
        <v/>
      </c>
      <c r="C70" s="152" t="str">
        <f t="shared" si="19"/>
        <v/>
      </c>
      <c r="D70" s="27" t="e">
        <f t="shared" si="24"/>
        <v>#VALUE!</v>
      </c>
      <c r="E70" s="159" t="e">
        <f t="shared" si="25"/>
        <v>#VALUE!</v>
      </c>
      <c r="F70" s="152" t="e">
        <f t="shared" si="23"/>
        <v>#DIV/0!</v>
      </c>
      <c r="G70" s="155" t="e">
        <f t="shared" si="21"/>
        <v>#DIV/0!</v>
      </c>
      <c r="H70" s="159" t="e">
        <f t="shared" si="26"/>
        <v>#DIV/0!</v>
      </c>
      <c r="I70" s="160"/>
    </row>
    <row r="71" spans="2:9">
      <c r="B71" s="25" t="str">
        <f t="shared" si="22"/>
        <v/>
      </c>
      <c r="C71" s="152" t="str">
        <f t="shared" si="19"/>
        <v/>
      </c>
      <c r="D71" s="27" t="e">
        <f t="shared" si="24"/>
        <v>#VALUE!</v>
      </c>
      <c r="E71" s="159" t="e">
        <f t="shared" si="25"/>
        <v>#VALUE!</v>
      </c>
      <c r="F71" s="152" t="e">
        <f t="shared" si="23"/>
        <v>#DIV/0!</v>
      </c>
      <c r="G71" s="155" t="e">
        <f t="shared" si="21"/>
        <v>#DIV/0!</v>
      </c>
      <c r="H71" s="159" t="e">
        <f t="shared" si="26"/>
        <v>#DIV/0!</v>
      </c>
      <c r="I71" s="160"/>
    </row>
    <row r="72" spans="2:9">
      <c r="B72" s="25" t="str">
        <f t="shared" si="22"/>
        <v/>
      </c>
      <c r="C72" s="152" t="str">
        <f t="shared" si="19"/>
        <v/>
      </c>
      <c r="D72" s="27" t="e">
        <f t="shared" si="24"/>
        <v>#VALUE!</v>
      </c>
      <c r="E72" s="159" t="e">
        <f t="shared" si="25"/>
        <v>#VALUE!</v>
      </c>
      <c r="F72" s="152" t="e">
        <f t="shared" si="23"/>
        <v>#DIV/0!</v>
      </c>
      <c r="G72" s="155" t="e">
        <f t="shared" si="21"/>
        <v>#DIV/0!</v>
      </c>
      <c r="H72" s="159" t="e">
        <f t="shared" si="26"/>
        <v>#DIV/0!</v>
      </c>
      <c r="I72" s="160"/>
    </row>
    <row r="73" spans="2:9">
      <c r="B73" s="25" t="str">
        <f t="shared" si="22"/>
        <v/>
      </c>
      <c r="C73" s="152" t="str">
        <f t="shared" si="19"/>
        <v/>
      </c>
      <c r="D73" s="27" t="e">
        <f t="shared" si="24"/>
        <v>#VALUE!</v>
      </c>
      <c r="E73" s="159" t="e">
        <f t="shared" si="25"/>
        <v>#VALUE!</v>
      </c>
      <c r="F73" s="152" t="e">
        <f t="shared" si="23"/>
        <v>#DIV/0!</v>
      </c>
      <c r="G73" s="155" t="e">
        <f t="shared" si="21"/>
        <v>#DIV/0!</v>
      </c>
      <c r="H73" s="159" t="e">
        <f t="shared" si="26"/>
        <v>#DIV/0!</v>
      </c>
      <c r="I73" s="160"/>
    </row>
    <row r="74" spans="2:9">
      <c r="B74" s="25" t="str">
        <f t="shared" si="22"/>
        <v/>
      </c>
      <c r="C74" s="152" t="str">
        <f t="shared" si="19"/>
        <v/>
      </c>
      <c r="D74" s="27" t="e">
        <f t="shared" si="24"/>
        <v>#VALUE!</v>
      </c>
      <c r="E74" s="159" t="e">
        <f t="shared" si="25"/>
        <v>#VALUE!</v>
      </c>
      <c r="F74" s="152" t="e">
        <f t="shared" si="23"/>
        <v>#DIV/0!</v>
      </c>
      <c r="G74" s="155" t="e">
        <f t="shared" si="21"/>
        <v>#DIV/0!</v>
      </c>
      <c r="H74" s="159" t="e">
        <f t="shared" si="26"/>
        <v>#DIV/0!</v>
      </c>
      <c r="I74" s="160"/>
    </row>
    <row r="75" spans="2:9">
      <c r="B75" s="25" t="str">
        <f t="shared" si="22"/>
        <v/>
      </c>
      <c r="C75" s="152" t="str">
        <f t="shared" si="19"/>
        <v/>
      </c>
      <c r="D75" s="27" t="e">
        <f t="shared" si="24"/>
        <v>#VALUE!</v>
      </c>
      <c r="E75" s="159" t="e">
        <f t="shared" si="25"/>
        <v>#VALUE!</v>
      </c>
      <c r="F75" s="152" t="e">
        <f t="shared" si="23"/>
        <v>#DIV/0!</v>
      </c>
      <c r="G75" s="155" t="e">
        <f t="shared" si="21"/>
        <v>#DIV/0!</v>
      </c>
      <c r="H75" s="159" t="e">
        <f t="shared" si="26"/>
        <v>#DIV/0!</v>
      </c>
      <c r="I75" s="160"/>
    </row>
    <row r="76" spans="2:9">
      <c r="B76" s="25" t="str">
        <f t="shared" si="22"/>
        <v/>
      </c>
      <c r="C76" s="152" t="str">
        <f t="shared" si="19"/>
        <v/>
      </c>
      <c r="D76" s="27" t="e">
        <f t="shared" si="24"/>
        <v>#VALUE!</v>
      </c>
      <c r="E76" s="159" t="e">
        <f t="shared" si="25"/>
        <v>#VALUE!</v>
      </c>
      <c r="F76" s="152" t="e">
        <f t="shared" si="23"/>
        <v>#DIV/0!</v>
      </c>
      <c r="G76" s="155" t="e">
        <f t="shared" si="21"/>
        <v>#DIV/0!</v>
      </c>
      <c r="H76" s="159" t="e">
        <f t="shared" si="26"/>
        <v>#DIV/0!</v>
      </c>
      <c r="I76" s="160"/>
    </row>
    <row r="77" spans="2:9">
      <c r="B77" s="25" t="str">
        <f t="shared" si="22"/>
        <v/>
      </c>
      <c r="C77" s="152" t="str">
        <f t="shared" si="19"/>
        <v/>
      </c>
      <c r="D77" s="27" t="e">
        <f t="shared" si="24"/>
        <v>#VALUE!</v>
      </c>
      <c r="E77" s="159" t="e">
        <f t="shared" si="25"/>
        <v>#VALUE!</v>
      </c>
      <c r="F77" s="152" t="e">
        <f t="shared" si="23"/>
        <v>#DIV/0!</v>
      </c>
      <c r="G77" s="155" t="e">
        <f t="shared" si="21"/>
        <v>#DIV/0!</v>
      </c>
      <c r="H77" s="159" t="e">
        <f t="shared" si="26"/>
        <v>#DIV/0!</v>
      </c>
      <c r="I77" s="160"/>
    </row>
    <row r="78" spans="2:9">
      <c r="B78" s="25" t="str">
        <f t="shared" si="22"/>
        <v/>
      </c>
      <c r="C78" s="152" t="str">
        <f t="shared" si="19"/>
        <v/>
      </c>
      <c r="D78" s="27" t="e">
        <f t="shared" si="24"/>
        <v>#VALUE!</v>
      </c>
      <c r="E78" s="159" t="e">
        <f t="shared" si="25"/>
        <v>#VALUE!</v>
      </c>
      <c r="F78" s="152" t="e">
        <f t="shared" si="23"/>
        <v>#DIV/0!</v>
      </c>
      <c r="G78" s="155" t="e">
        <f t="shared" si="21"/>
        <v>#DIV/0!</v>
      </c>
      <c r="H78" s="159" t="e">
        <f t="shared" si="26"/>
        <v>#DIV/0!</v>
      </c>
      <c r="I78" s="160"/>
    </row>
    <row r="79" spans="2:9">
      <c r="B79" s="25" t="str">
        <f t="shared" si="22"/>
        <v/>
      </c>
      <c r="C79" s="152" t="str">
        <f t="shared" si="19"/>
        <v/>
      </c>
      <c r="D79" s="27" t="e">
        <f t="shared" si="24"/>
        <v>#VALUE!</v>
      </c>
      <c r="E79" s="159" t="e">
        <f t="shared" si="25"/>
        <v>#VALUE!</v>
      </c>
      <c r="F79" s="152" t="e">
        <f t="shared" si="23"/>
        <v>#DIV/0!</v>
      </c>
      <c r="G79" s="155" t="e">
        <f t="shared" si="21"/>
        <v>#DIV/0!</v>
      </c>
      <c r="H79" s="159" t="e">
        <f t="shared" si="26"/>
        <v>#DIV/0!</v>
      </c>
      <c r="I79" s="160"/>
    </row>
    <row r="80" spans="2:9">
      <c r="B80" s="25" t="str">
        <f t="shared" si="22"/>
        <v/>
      </c>
      <c r="C80" s="152" t="str">
        <f t="shared" si="19"/>
        <v/>
      </c>
      <c r="D80" s="27" t="e">
        <f t="shared" si="24"/>
        <v>#VALUE!</v>
      </c>
      <c r="E80" s="159" t="e">
        <f t="shared" si="25"/>
        <v>#VALUE!</v>
      </c>
      <c r="F80" s="152" t="e">
        <f t="shared" si="23"/>
        <v>#DIV/0!</v>
      </c>
      <c r="G80" s="155" t="e">
        <f t="shared" si="21"/>
        <v>#DIV/0!</v>
      </c>
      <c r="H80" s="159" t="e">
        <f t="shared" si="26"/>
        <v>#DIV/0!</v>
      </c>
      <c r="I80" s="160"/>
    </row>
  </sheetData>
  <conditionalFormatting sqref="H4:H80">
    <cfRule type="cellIs" dxfId="3" priority="1" operator="lessThanOrEqual">
      <formula>0.5</formula>
    </cfRule>
    <cfRule type="cellIs" dxfId="2" priority="2" operator="greaterThanOrEqual">
      <formula>2</formula>
    </cfRule>
    <cfRule type="cellIs" dxfId="1" priority="5" operator="greaterThanOrEqual">
      <formula>$H3*2</formula>
    </cfRule>
  </conditionalFormatting>
  <conditionalFormatting sqref="H4:H80">
    <cfRule type="cellIs" dxfId="0" priority="4" operator="lessThanOrEqual">
      <formula>$H3/2</formula>
    </cfRule>
  </conditionalFormatting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>
  <dimension ref="A1:N121"/>
  <sheetViews>
    <sheetView workbookViewId="0">
      <selection activeCell="P6" sqref="P6"/>
    </sheetView>
  </sheetViews>
  <sheetFormatPr defaultRowHeight="12.75"/>
  <cols>
    <col min="2" max="2" width="11.140625" customWidth="1"/>
    <col min="9" max="9" width="11.28515625" customWidth="1"/>
    <col min="11" max="11" width="12.7109375" customWidth="1"/>
  </cols>
  <sheetData>
    <row r="1" spans="1:14">
      <c r="A1" s="178" t="s">
        <v>204</v>
      </c>
      <c r="B1" s="179" t="s">
        <v>215</v>
      </c>
      <c r="C1" s="178" t="s">
        <v>205</v>
      </c>
      <c r="D1" s="178" t="s">
        <v>206</v>
      </c>
      <c r="E1" s="178" t="s">
        <v>207</v>
      </c>
      <c r="F1" s="178" t="s">
        <v>208</v>
      </c>
      <c r="G1" s="178" t="s">
        <v>216</v>
      </c>
      <c r="H1" s="178" t="s">
        <v>217</v>
      </c>
      <c r="I1" s="179" t="s">
        <v>218</v>
      </c>
      <c r="J1" s="178" t="s">
        <v>286</v>
      </c>
      <c r="K1" s="178" t="s">
        <v>209</v>
      </c>
      <c r="L1" s="178" t="s">
        <v>210</v>
      </c>
      <c r="M1" s="178" t="s">
        <v>211</v>
      </c>
      <c r="N1" s="178" t="s">
        <v>212</v>
      </c>
    </row>
    <row r="2" spans="1:14">
      <c r="A2" s="168">
        <v>21054019</v>
      </c>
      <c r="B2" s="167" t="s">
        <v>223</v>
      </c>
      <c r="C2" s="168" t="s">
        <v>196</v>
      </c>
      <c r="D2" s="168">
        <v>2.23</v>
      </c>
      <c r="E2" s="168" t="s">
        <v>199</v>
      </c>
      <c r="F2" s="173">
        <v>168419</v>
      </c>
      <c r="G2" s="173">
        <v>168230</v>
      </c>
      <c r="H2" s="168">
        <v>0</v>
      </c>
      <c r="I2" s="167" t="s">
        <v>224</v>
      </c>
      <c r="J2" s="173">
        <v>168230</v>
      </c>
      <c r="K2" s="168" t="s">
        <v>198</v>
      </c>
      <c r="L2" s="168"/>
      <c r="M2" s="168"/>
      <c r="N2" s="168">
        <v>-421.47</v>
      </c>
    </row>
    <row r="3" spans="1:14">
      <c r="A3" s="168"/>
      <c r="B3" s="166"/>
      <c r="C3" s="166"/>
      <c r="D3" s="166"/>
      <c r="E3" s="166"/>
      <c r="F3" s="166"/>
      <c r="G3" s="166"/>
      <c r="H3" s="166"/>
      <c r="I3" s="166"/>
      <c r="J3" s="168">
        <v>8855</v>
      </c>
      <c r="K3" s="170">
        <v>0</v>
      </c>
      <c r="L3" s="170">
        <v>0</v>
      </c>
      <c r="M3" s="170">
        <v>0</v>
      </c>
      <c r="N3" s="177"/>
    </row>
    <row r="4" spans="1:14">
      <c r="A4" s="170">
        <v>21044604</v>
      </c>
      <c r="B4" s="169" t="s">
        <v>219</v>
      </c>
      <c r="C4" s="170" t="s">
        <v>193</v>
      </c>
      <c r="D4" s="170">
        <v>6.9</v>
      </c>
      <c r="E4" s="170" t="s">
        <v>194</v>
      </c>
      <c r="F4" s="170">
        <v>0.82133999999999996</v>
      </c>
      <c r="G4" s="170">
        <v>0.82420000000000004</v>
      </c>
      <c r="H4" s="170">
        <v>0</v>
      </c>
      <c r="I4" s="169" t="s">
        <v>220</v>
      </c>
      <c r="J4" s="170">
        <v>0.82420000000000004</v>
      </c>
      <c r="K4" s="172" t="s">
        <v>195</v>
      </c>
      <c r="L4" s="172"/>
      <c r="M4" s="172"/>
      <c r="N4" s="170">
        <v>-3319.75</v>
      </c>
    </row>
    <row r="5" spans="1:14">
      <c r="A5" s="172"/>
      <c r="B5" s="176"/>
      <c r="C5" s="176"/>
      <c r="D5" s="176"/>
      <c r="E5" s="176"/>
      <c r="F5" s="176"/>
      <c r="G5" s="176"/>
      <c r="H5" s="176"/>
      <c r="I5" s="176"/>
      <c r="J5" s="172">
        <v>8855</v>
      </c>
      <c r="K5" s="168">
        <v>0</v>
      </c>
      <c r="L5" s="168">
        <v>0</v>
      </c>
      <c r="M5" s="168">
        <v>0</v>
      </c>
      <c r="N5" s="177"/>
    </row>
    <row r="6" spans="1:14">
      <c r="A6" s="168">
        <v>21058005</v>
      </c>
      <c r="B6" s="167" t="s">
        <v>231</v>
      </c>
      <c r="C6" s="168" t="s">
        <v>196</v>
      </c>
      <c r="D6" s="168">
        <v>4.4000000000000004</v>
      </c>
      <c r="E6" s="168" t="s">
        <v>202</v>
      </c>
      <c r="F6" s="173">
        <v>110195</v>
      </c>
      <c r="G6" s="173">
        <v>109980</v>
      </c>
      <c r="H6" s="168">
        <v>0</v>
      </c>
      <c r="I6" s="167" t="s">
        <v>232</v>
      </c>
      <c r="J6" s="173">
        <v>109980</v>
      </c>
      <c r="K6" s="168" t="s">
        <v>198</v>
      </c>
      <c r="L6" s="168"/>
      <c r="M6" s="168"/>
      <c r="N6" s="168">
        <v>-860.16</v>
      </c>
    </row>
    <row r="7" spans="1:14">
      <c r="A7" s="168"/>
      <c r="B7" s="166"/>
      <c r="C7" s="166"/>
      <c r="D7" s="166"/>
      <c r="E7" s="166"/>
      <c r="F7" s="166"/>
      <c r="G7" s="166"/>
      <c r="H7" s="166"/>
      <c r="I7" s="166"/>
      <c r="J7" s="168">
        <v>8855</v>
      </c>
      <c r="K7" s="170">
        <v>0</v>
      </c>
      <c r="L7" s="170">
        <v>0</v>
      </c>
      <c r="M7" s="170">
        <v>0</v>
      </c>
      <c r="N7" s="177"/>
    </row>
    <row r="8" spans="1:14">
      <c r="A8" s="170">
        <v>21058723</v>
      </c>
      <c r="B8" s="169" t="s">
        <v>233</v>
      </c>
      <c r="C8" s="170" t="s">
        <v>193</v>
      </c>
      <c r="D8" s="170">
        <v>3.44</v>
      </c>
      <c r="E8" s="170" t="s">
        <v>199</v>
      </c>
      <c r="F8" s="171">
        <v>168031</v>
      </c>
      <c r="G8" s="171">
        <v>168160</v>
      </c>
      <c r="H8" s="170">
        <v>0</v>
      </c>
      <c r="I8" s="169" t="s">
        <v>234</v>
      </c>
      <c r="J8" s="171">
        <v>168160</v>
      </c>
      <c r="K8" s="172" t="s">
        <v>198</v>
      </c>
      <c r="L8" s="172"/>
      <c r="M8" s="172"/>
      <c r="N8" s="170">
        <v>-443.76</v>
      </c>
    </row>
    <row r="9" spans="1:14">
      <c r="A9" s="172"/>
      <c r="B9" s="176"/>
      <c r="C9" s="176"/>
      <c r="D9" s="176"/>
      <c r="E9" s="176"/>
      <c r="F9" s="176"/>
      <c r="G9" s="176"/>
      <c r="H9" s="176"/>
      <c r="I9" s="176"/>
      <c r="J9" s="172">
        <v>8855</v>
      </c>
      <c r="K9" s="168">
        <v>0</v>
      </c>
      <c r="L9" s="168">
        <v>0</v>
      </c>
      <c r="M9" s="168">
        <v>0</v>
      </c>
      <c r="N9" s="177"/>
    </row>
    <row r="10" spans="1:14">
      <c r="A10" s="168">
        <v>21057029</v>
      </c>
      <c r="B10" s="167" t="s">
        <v>225</v>
      </c>
      <c r="C10" s="168" t="s">
        <v>196</v>
      </c>
      <c r="D10" s="168">
        <v>4.33</v>
      </c>
      <c r="E10" s="168" t="s">
        <v>194</v>
      </c>
      <c r="F10" s="168">
        <v>0.82415000000000005</v>
      </c>
      <c r="G10" s="168">
        <v>0.82310000000000005</v>
      </c>
      <c r="H10" s="168">
        <v>0</v>
      </c>
      <c r="I10" s="167" t="s">
        <v>226</v>
      </c>
      <c r="J10" s="168">
        <v>0.82310000000000005</v>
      </c>
      <c r="K10" s="168" t="s">
        <v>198</v>
      </c>
      <c r="L10" s="168"/>
      <c r="M10" s="168"/>
      <c r="N10" s="168">
        <v>-764.3</v>
      </c>
    </row>
    <row r="11" spans="1:14">
      <c r="A11" s="168"/>
      <c r="B11" s="166"/>
      <c r="C11" s="166"/>
      <c r="D11" s="166"/>
      <c r="E11" s="166"/>
      <c r="F11" s="166"/>
      <c r="G11" s="166"/>
      <c r="H11" s="166"/>
      <c r="I11" s="166"/>
      <c r="J11" s="168">
        <v>8855</v>
      </c>
      <c r="K11" s="170">
        <v>0</v>
      </c>
      <c r="L11" s="170">
        <v>0</v>
      </c>
      <c r="M11" s="170">
        <v>0</v>
      </c>
      <c r="N11" s="177"/>
    </row>
    <row r="12" spans="1:14">
      <c r="A12" s="170">
        <v>21057068</v>
      </c>
      <c r="B12" s="169" t="s">
        <v>227</v>
      </c>
      <c r="C12" s="170" t="s">
        <v>193</v>
      </c>
      <c r="D12" s="170">
        <v>6.21</v>
      </c>
      <c r="E12" s="170" t="s">
        <v>200</v>
      </c>
      <c r="F12" s="170">
        <v>0.87761999999999996</v>
      </c>
      <c r="G12" s="170">
        <v>0.88070000000000004</v>
      </c>
      <c r="H12" s="170">
        <v>0</v>
      </c>
      <c r="I12" s="169" t="s">
        <v>228</v>
      </c>
      <c r="J12" s="170">
        <v>0.88070000000000004</v>
      </c>
      <c r="K12" s="172" t="s">
        <v>195</v>
      </c>
      <c r="L12" s="172"/>
      <c r="M12" s="172"/>
      <c r="N12" s="170">
        <v>-2171.77</v>
      </c>
    </row>
    <row r="13" spans="1:14">
      <c r="A13" s="172"/>
      <c r="B13" s="176"/>
      <c r="C13" s="176"/>
      <c r="D13" s="176"/>
      <c r="E13" s="176"/>
      <c r="F13" s="176"/>
      <c r="G13" s="176"/>
      <c r="H13" s="176"/>
      <c r="I13" s="176"/>
      <c r="J13" s="172">
        <v>8855</v>
      </c>
      <c r="K13" s="168">
        <v>0</v>
      </c>
      <c r="L13" s="168">
        <v>0</v>
      </c>
      <c r="M13" s="168">
        <v>0</v>
      </c>
      <c r="N13" s="177"/>
    </row>
    <row r="14" spans="1:14">
      <c r="A14" s="168">
        <v>21051646</v>
      </c>
      <c r="B14" s="167" t="s">
        <v>221</v>
      </c>
      <c r="C14" s="168" t="s">
        <v>196</v>
      </c>
      <c r="D14" s="168">
        <v>3.45</v>
      </c>
      <c r="E14" s="168" t="s">
        <v>197</v>
      </c>
      <c r="F14" s="173">
        <v>138456</v>
      </c>
      <c r="G14" s="173">
        <v>138370</v>
      </c>
      <c r="H14" s="168">
        <v>0</v>
      </c>
      <c r="I14" s="167" t="s">
        <v>222</v>
      </c>
      <c r="J14" s="173">
        <v>138370</v>
      </c>
      <c r="K14" s="168" t="s">
        <v>198</v>
      </c>
      <c r="L14" s="168"/>
      <c r="M14" s="168"/>
      <c r="N14" s="168">
        <v>-296.7</v>
      </c>
    </row>
    <row r="15" spans="1:14">
      <c r="A15" s="168"/>
      <c r="B15" s="166"/>
      <c r="C15" s="166"/>
      <c r="D15" s="166"/>
      <c r="E15" s="166"/>
      <c r="F15" s="166"/>
      <c r="G15" s="166"/>
      <c r="H15" s="166"/>
      <c r="I15" s="166"/>
      <c r="J15" s="168">
        <v>8855</v>
      </c>
      <c r="K15" s="170">
        <v>0</v>
      </c>
      <c r="L15" s="170">
        <v>0</v>
      </c>
      <c r="M15" s="170">
        <v>-19.670000000000002</v>
      </c>
      <c r="N15" s="177"/>
    </row>
    <row r="16" spans="1:14">
      <c r="A16" s="170">
        <v>21063027</v>
      </c>
      <c r="B16" s="169" t="s">
        <v>235</v>
      </c>
      <c r="C16" s="170" t="s">
        <v>193</v>
      </c>
      <c r="D16" s="170">
        <v>4.37</v>
      </c>
      <c r="E16" s="170" t="s">
        <v>199</v>
      </c>
      <c r="F16" s="171">
        <v>167945</v>
      </c>
      <c r="G16" s="171">
        <v>167990</v>
      </c>
      <c r="H16" s="170">
        <v>0</v>
      </c>
      <c r="I16" s="169" t="s">
        <v>236</v>
      </c>
      <c r="J16" s="171">
        <v>167990</v>
      </c>
      <c r="K16" s="172" t="s">
        <v>198</v>
      </c>
      <c r="L16" s="172"/>
      <c r="M16" s="172"/>
      <c r="N16" s="170">
        <v>-196.65</v>
      </c>
    </row>
    <row r="17" spans="1:14">
      <c r="A17" s="172"/>
      <c r="B17" s="176"/>
      <c r="C17" s="176"/>
      <c r="D17" s="176"/>
      <c r="E17" s="176"/>
      <c r="F17" s="176"/>
      <c r="G17" s="176"/>
      <c r="H17" s="176"/>
      <c r="I17" s="176"/>
      <c r="J17" s="172">
        <v>8855</v>
      </c>
      <c r="K17" s="168">
        <v>0</v>
      </c>
      <c r="L17" s="168">
        <v>0</v>
      </c>
      <c r="M17" s="168">
        <v>0</v>
      </c>
      <c r="N17" s="177"/>
    </row>
    <row r="18" spans="1:14">
      <c r="A18" s="168">
        <v>21067781</v>
      </c>
      <c r="B18" s="167" t="s">
        <v>239</v>
      </c>
      <c r="C18" s="168" t="s">
        <v>196</v>
      </c>
      <c r="D18" s="168">
        <v>6.16</v>
      </c>
      <c r="E18" s="168" t="s">
        <v>194</v>
      </c>
      <c r="F18" s="168">
        <v>0.82364999999999999</v>
      </c>
      <c r="G18" s="168">
        <v>0.82220000000000004</v>
      </c>
      <c r="H18" s="168">
        <v>0</v>
      </c>
      <c r="I18" s="167" t="s">
        <v>240</v>
      </c>
      <c r="J18" s="168">
        <v>0.82220000000000004</v>
      </c>
      <c r="K18" s="168" t="s">
        <v>198</v>
      </c>
      <c r="L18" s="168"/>
      <c r="M18" s="168"/>
      <c r="N18" s="168">
        <v>-1499.86</v>
      </c>
    </row>
    <row r="19" spans="1:14">
      <c r="A19" s="168"/>
      <c r="B19" s="166"/>
      <c r="C19" s="166"/>
      <c r="D19" s="166"/>
      <c r="E19" s="166"/>
      <c r="F19" s="166"/>
      <c r="G19" s="166"/>
      <c r="H19" s="166"/>
      <c r="I19" s="166"/>
      <c r="J19" s="168">
        <v>8855</v>
      </c>
      <c r="K19" s="170">
        <v>0</v>
      </c>
      <c r="L19" s="170">
        <v>0</v>
      </c>
      <c r="M19" s="170">
        <v>-49.25</v>
      </c>
      <c r="N19" s="177"/>
    </row>
    <row r="20" spans="1:14">
      <c r="A20" s="170">
        <v>21057422</v>
      </c>
      <c r="B20" s="169" t="s">
        <v>229</v>
      </c>
      <c r="C20" s="170" t="s">
        <v>193</v>
      </c>
      <c r="D20" s="170">
        <v>2.92</v>
      </c>
      <c r="E20" s="170" t="s">
        <v>201</v>
      </c>
      <c r="F20" s="170">
        <v>0.93432999999999999</v>
      </c>
      <c r="G20" s="170">
        <v>0.93430000000000002</v>
      </c>
      <c r="H20" s="170">
        <v>0</v>
      </c>
      <c r="I20" s="169" t="s">
        <v>230</v>
      </c>
      <c r="J20" s="170">
        <v>0.93430000000000002</v>
      </c>
      <c r="K20" s="172" t="s">
        <v>198</v>
      </c>
      <c r="L20" s="172"/>
      <c r="M20" s="172"/>
      <c r="N20" s="170">
        <v>8.76</v>
      </c>
    </row>
    <row r="21" spans="1:14">
      <c r="A21" s="172"/>
      <c r="B21" s="176"/>
      <c r="C21" s="176"/>
      <c r="D21" s="176"/>
      <c r="E21" s="176"/>
      <c r="F21" s="176"/>
      <c r="G21" s="176"/>
      <c r="H21" s="176"/>
      <c r="I21" s="176"/>
      <c r="J21" s="172">
        <v>8855</v>
      </c>
      <c r="K21" s="168">
        <v>0</v>
      </c>
      <c r="L21" s="168">
        <v>0</v>
      </c>
      <c r="M21" s="168">
        <v>-46.88</v>
      </c>
      <c r="N21" s="177"/>
    </row>
    <row r="22" spans="1:14">
      <c r="A22" s="168">
        <v>21063104</v>
      </c>
      <c r="B22" s="167" t="s">
        <v>237</v>
      </c>
      <c r="C22" s="168" t="s">
        <v>193</v>
      </c>
      <c r="D22" s="168">
        <v>2.78</v>
      </c>
      <c r="E22" s="168" t="s">
        <v>201</v>
      </c>
      <c r="F22" s="168">
        <v>0.93281999999999998</v>
      </c>
      <c r="G22" s="168">
        <v>0.93340000000000001</v>
      </c>
      <c r="H22" s="168">
        <v>0</v>
      </c>
      <c r="I22" s="167" t="s">
        <v>238</v>
      </c>
      <c r="J22" s="168">
        <v>0.93340000000000001</v>
      </c>
      <c r="K22" s="168" t="s">
        <v>195</v>
      </c>
      <c r="L22" s="168"/>
      <c r="M22" s="168"/>
      <c r="N22" s="168">
        <v>-161.24</v>
      </c>
    </row>
    <row r="23" spans="1:14">
      <c r="A23" s="168"/>
      <c r="B23" s="166"/>
      <c r="C23" s="166"/>
      <c r="D23" s="166"/>
      <c r="E23" s="166"/>
      <c r="F23" s="166"/>
      <c r="G23" s="166"/>
      <c r="H23" s="166"/>
      <c r="I23" s="166"/>
      <c r="J23" s="168">
        <v>8855</v>
      </c>
      <c r="K23" s="170">
        <v>0</v>
      </c>
      <c r="L23" s="170">
        <v>0</v>
      </c>
      <c r="M23" s="170">
        <v>-23.05</v>
      </c>
      <c r="N23" s="177"/>
    </row>
    <row r="24" spans="1:14">
      <c r="A24" s="170">
        <v>21069584</v>
      </c>
      <c r="B24" s="169" t="s">
        <v>241</v>
      </c>
      <c r="C24" s="170" t="s">
        <v>196</v>
      </c>
      <c r="D24" s="170">
        <v>3.81</v>
      </c>
      <c r="E24" s="170" t="s">
        <v>202</v>
      </c>
      <c r="F24" s="171">
        <v>110288</v>
      </c>
      <c r="G24" s="171">
        <v>110150</v>
      </c>
      <c r="H24" s="170">
        <v>0</v>
      </c>
      <c r="I24" s="169" t="s">
        <v>242</v>
      </c>
      <c r="J24" s="171">
        <v>110150</v>
      </c>
      <c r="K24" s="172" t="s">
        <v>198</v>
      </c>
      <c r="L24" s="172"/>
      <c r="M24" s="172"/>
      <c r="N24" s="170">
        <v>-477.33</v>
      </c>
    </row>
    <row r="25" spans="1:14">
      <c r="A25" s="172"/>
      <c r="B25" s="176"/>
      <c r="C25" s="176"/>
      <c r="D25" s="176"/>
      <c r="E25" s="176"/>
      <c r="F25" s="176"/>
      <c r="G25" s="176"/>
      <c r="H25" s="176"/>
      <c r="I25" s="176"/>
      <c r="J25" s="172">
        <v>8855</v>
      </c>
      <c r="K25" s="168">
        <v>0</v>
      </c>
      <c r="L25" s="168">
        <v>0</v>
      </c>
      <c r="M25" s="168">
        <v>0</v>
      </c>
      <c r="N25" s="177"/>
    </row>
    <row r="26" spans="1:14">
      <c r="A26" s="168">
        <v>21074265</v>
      </c>
      <c r="B26" s="167" t="s">
        <v>253</v>
      </c>
      <c r="C26" s="168" t="s">
        <v>196</v>
      </c>
      <c r="D26" s="168">
        <v>4.99</v>
      </c>
      <c r="E26" s="168" t="s">
        <v>197</v>
      </c>
      <c r="F26" s="173">
        <v>138295</v>
      </c>
      <c r="G26" s="173">
        <v>138160</v>
      </c>
      <c r="H26" s="168">
        <v>0</v>
      </c>
      <c r="I26" s="167" t="s">
        <v>254</v>
      </c>
      <c r="J26" s="173">
        <v>138160</v>
      </c>
      <c r="K26" s="168" t="s">
        <v>198</v>
      </c>
      <c r="L26" s="168"/>
      <c r="M26" s="168"/>
      <c r="N26" s="168">
        <v>-673.65</v>
      </c>
    </row>
    <row r="27" spans="1:14">
      <c r="A27" s="168"/>
      <c r="B27" s="166"/>
      <c r="C27" s="166"/>
      <c r="D27" s="166"/>
      <c r="E27" s="166"/>
      <c r="F27" s="166"/>
      <c r="G27" s="166"/>
      <c r="H27" s="166"/>
      <c r="I27" s="166"/>
      <c r="J27" s="168">
        <v>8855</v>
      </c>
      <c r="K27" s="170">
        <v>0</v>
      </c>
      <c r="L27" s="170">
        <v>0</v>
      </c>
      <c r="M27" s="170">
        <v>0</v>
      </c>
      <c r="N27" s="177"/>
    </row>
    <row r="28" spans="1:14">
      <c r="A28" s="170">
        <v>21073603</v>
      </c>
      <c r="B28" s="169" t="s">
        <v>251</v>
      </c>
      <c r="C28" s="170" t="s">
        <v>193</v>
      </c>
      <c r="D28" s="170">
        <v>11.29</v>
      </c>
      <c r="E28" s="170" t="s">
        <v>200</v>
      </c>
      <c r="F28" s="170">
        <v>0.88221000000000005</v>
      </c>
      <c r="G28" s="170">
        <v>0.88349999999999995</v>
      </c>
      <c r="H28" s="170">
        <v>0</v>
      </c>
      <c r="I28" s="169" t="s">
        <v>252</v>
      </c>
      <c r="J28" s="170">
        <v>0.88349999999999995</v>
      </c>
      <c r="K28" s="172" t="s">
        <v>195</v>
      </c>
      <c r="L28" s="172"/>
      <c r="M28" s="172"/>
      <c r="N28" s="170">
        <v>-1648.46</v>
      </c>
    </row>
    <row r="29" spans="1:14">
      <c r="A29" s="172"/>
      <c r="B29" s="176"/>
      <c r="C29" s="176"/>
      <c r="D29" s="176"/>
      <c r="E29" s="176"/>
      <c r="F29" s="176"/>
      <c r="G29" s="176"/>
      <c r="H29" s="176"/>
      <c r="I29" s="176"/>
      <c r="J29" s="172">
        <v>8855</v>
      </c>
      <c r="K29" s="168">
        <v>0</v>
      </c>
      <c r="L29" s="168">
        <v>0</v>
      </c>
      <c r="M29" s="168">
        <v>0</v>
      </c>
      <c r="N29" s="177"/>
    </row>
    <row r="30" spans="1:14">
      <c r="A30" s="168">
        <v>21075142</v>
      </c>
      <c r="B30" s="167" t="s">
        <v>255</v>
      </c>
      <c r="C30" s="168" t="s">
        <v>193</v>
      </c>
      <c r="D30" s="168">
        <v>4.83</v>
      </c>
      <c r="E30" s="168" t="s">
        <v>202</v>
      </c>
      <c r="F30" s="173">
        <v>110074</v>
      </c>
      <c r="G30" s="173">
        <v>110200</v>
      </c>
      <c r="H30" s="168">
        <v>0</v>
      </c>
      <c r="I30" s="167" t="s">
        <v>256</v>
      </c>
      <c r="J30" s="173">
        <v>110200</v>
      </c>
      <c r="K30" s="168" t="s">
        <v>198</v>
      </c>
      <c r="L30" s="168"/>
      <c r="M30" s="168"/>
      <c r="N30" s="168">
        <v>-552.25</v>
      </c>
    </row>
    <row r="31" spans="1:14">
      <c r="A31" s="168"/>
      <c r="B31" s="166"/>
      <c r="C31" s="166"/>
      <c r="D31" s="166"/>
      <c r="E31" s="166"/>
      <c r="F31" s="166"/>
      <c r="G31" s="166"/>
      <c r="H31" s="166"/>
      <c r="I31" s="166"/>
      <c r="J31" s="168">
        <v>8855</v>
      </c>
      <c r="K31" s="170">
        <v>0</v>
      </c>
      <c r="L31" s="170">
        <v>0</v>
      </c>
      <c r="M31" s="170">
        <v>0</v>
      </c>
      <c r="N31" s="177"/>
    </row>
    <row r="32" spans="1:14">
      <c r="A32" s="170">
        <v>21073092</v>
      </c>
      <c r="B32" s="169" t="s">
        <v>247</v>
      </c>
      <c r="C32" s="170" t="s">
        <v>196</v>
      </c>
      <c r="D32" s="170">
        <v>8.18</v>
      </c>
      <c r="E32" s="170" t="s">
        <v>199</v>
      </c>
      <c r="F32" s="171">
        <v>168015</v>
      </c>
      <c r="G32" s="171">
        <v>167910</v>
      </c>
      <c r="H32" s="170">
        <v>0</v>
      </c>
      <c r="I32" s="169" t="s">
        <v>248</v>
      </c>
      <c r="J32" s="171">
        <v>167910</v>
      </c>
      <c r="K32" s="172" t="s">
        <v>195</v>
      </c>
      <c r="L32" s="172"/>
      <c r="M32" s="172"/>
      <c r="N32" s="170">
        <v>-858.9</v>
      </c>
    </row>
    <row r="33" spans="1:14">
      <c r="A33" s="172"/>
      <c r="B33" s="176"/>
      <c r="C33" s="176"/>
      <c r="D33" s="176"/>
      <c r="E33" s="176"/>
      <c r="F33" s="176"/>
      <c r="G33" s="176"/>
      <c r="H33" s="176"/>
      <c r="I33" s="176"/>
      <c r="J33" s="172">
        <v>8855</v>
      </c>
      <c r="K33" s="168">
        <v>0</v>
      </c>
      <c r="L33" s="168">
        <v>0</v>
      </c>
      <c r="M33" s="168">
        <v>0</v>
      </c>
      <c r="N33" s="177"/>
    </row>
    <row r="34" spans="1:14">
      <c r="A34" s="168">
        <v>21072273</v>
      </c>
      <c r="B34" s="167" t="s">
        <v>245</v>
      </c>
      <c r="C34" s="168" t="s">
        <v>193</v>
      </c>
      <c r="D34" s="168">
        <v>12.85</v>
      </c>
      <c r="E34" s="168" t="s">
        <v>201</v>
      </c>
      <c r="F34" s="168">
        <v>0.93152000000000001</v>
      </c>
      <c r="G34" s="168">
        <v>0.93430000000000002</v>
      </c>
      <c r="H34" s="168">
        <v>0</v>
      </c>
      <c r="I34" s="167" t="s">
        <v>246</v>
      </c>
      <c r="J34" s="168">
        <v>0.93430000000000002</v>
      </c>
      <c r="K34" s="168" t="s">
        <v>203</v>
      </c>
      <c r="L34" s="168"/>
      <c r="M34" s="168"/>
      <c r="N34" s="168">
        <v>-3572.3</v>
      </c>
    </row>
    <row r="35" spans="1:14">
      <c r="A35" s="168"/>
      <c r="B35" s="166"/>
      <c r="C35" s="166"/>
      <c r="D35" s="166"/>
      <c r="E35" s="166"/>
      <c r="F35" s="166"/>
      <c r="G35" s="166"/>
      <c r="H35" s="166"/>
      <c r="I35" s="166"/>
      <c r="J35" s="168">
        <v>8855</v>
      </c>
      <c r="K35" s="170">
        <v>0</v>
      </c>
      <c r="L35" s="170">
        <v>0</v>
      </c>
      <c r="M35" s="170">
        <v>-4.8</v>
      </c>
      <c r="N35" s="177"/>
    </row>
    <row r="36" spans="1:14">
      <c r="A36" s="170">
        <v>21073546</v>
      </c>
      <c r="B36" s="169" t="s">
        <v>249</v>
      </c>
      <c r="C36" s="170" t="s">
        <v>193</v>
      </c>
      <c r="D36" s="170">
        <v>5.65</v>
      </c>
      <c r="E36" s="170" t="s">
        <v>194</v>
      </c>
      <c r="F36" s="170">
        <v>0.82184000000000001</v>
      </c>
      <c r="G36" s="170">
        <v>0.82169999999999999</v>
      </c>
      <c r="H36" s="170">
        <v>0</v>
      </c>
      <c r="I36" s="169" t="s">
        <v>250</v>
      </c>
      <c r="J36" s="170">
        <v>0.82169999999999999</v>
      </c>
      <c r="K36" s="172" t="s">
        <v>198</v>
      </c>
      <c r="L36" s="172"/>
      <c r="M36" s="172"/>
      <c r="N36" s="170">
        <v>132.83000000000001</v>
      </c>
    </row>
    <row r="37" spans="1:14">
      <c r="A37" s="172"/>
      <c r="B37" s="176"/>
      <c r="C37" s="176"/>
      <c r="D37" s="176"/>
      <c r="E37" s="176"/>
      <c r="F37" s="176"/>
      <c r="G37" s="176"/>
      <c r="H37" s="176"/>
      <c r="I37" s="176"/>
      <c r="J37" s="172">
        <v>8855</v>
      </c>
      <c r="K37" s="168">
        <v>0</v>
      </c>
      <c r="L37" s="168">
        <v>0</v>
      </c>
      <c r="M37" s="168">
        <v>-13.26</v>
      </c>
      <c r="N37" s="177"/>
    </row>
    <row r="38" spans="1:14">
      <c r="A38" s="168">
        <v>21076576</v>
      </c>
      <c r="B38" s="167" t="s">
        <v>259</v>
      </c>
      <c r="C38" s="168" t="s">
        <v>193</v>
      </c>
      <c r="D38" s="168">
        <v>5.9</v>
      </c>
      <c r="E38" s="168" t="s">
        <v>197</v>
      </c>
      <c r="F38" s="173">
        <v>138015</v>
      </c>
      <c r="G38" s="173">
        <v>138050</v>
      </c>
      <c r="H38" s="168">
        <v>0</v>
      </c>
      <c r="I38" s="167" t="s">
        <v>260</v>
      </c>
      <c r="J38" s="173">
        <v>138050</v>
      </c>
      <c r="K38" s="168" t="s">
        <v>198</v>
      </c>
      <c r="L38" s="168"/>
      <c r="M38" s="168"/>
      <c r="N38" s="168">
        <v>-206.5</v>
      </c>
    </row>
    <row r="39" spans="1:14">
      <c r="A39" s="168"/>
      <c r="B39" s="166"/>
      <c r="C39" s="166"/>
      <c r="D39" s="166"/>
      <c r="E39" s="166"/>
      <c r="F39" s="166"/>
      <c r="G39" s="166"/>
      <c r="H39" s="166"/>
      <c r="I39" s="166"/>
      <c r="J39" s="168">
        <v>8855</v>
      </c>
      <c r="K39" s="170">
        <v>0</v>
      </c>
      <c r="L39" s="170">
        <v>0</v>
      </c>
      <c r="M39" s="170">
        <v>-20.59</v>
      </c>
      <c r="N39" s="177"/>
    </row>
    <row r="40" spans="1:14">
      <c r="A40" s="170">
        <v>21076635</v>
      </c>
      <c r="B40" s="169" t="s">
        <v>261</v>
      </c>
      <c r="C40" s="170" t="s">
        <v>193</v>
      </c>
      <c r="D40" s="170">
        <v>9.16</v>
      </c>
      <c r="E40" s="170" t="s">
        <v>197</v>
      </c>
      <c r="F40" s="171">
        <v>137981</v>
      </c>
      <c r="G40" s="171">
        <v>138160</v>
      </c>
      <c r="H40" s="170">
        <v>0</v>
      </c>
      <c r="I40" s="169" t="s">
        <v>262</v>
      </c>
      <c r="J40" s="171">
        <v>138160</v>
      </c>
      <c r="K40" s="172" t="s">
        <v>195</v>
      </c>
      <c r="L40" s="172"/>
      <c r="M40" s="172"/>
      <c r="N40" s="170">
        <v>-1639.64</v>
      </c>
    </row>
    <row r="41" spans="1:14">
      <c r="A41" s="172"/>
      <c r="B41" s="176"/>
      <c r="C41" s="176"/>
      <c r="D41" s="176"/>
      <c r="E41" s="176"/>
      <c r="F41" s="176"/>
      <c r="G41" s="176"/>
      <c r="H41" s="176"/>
      <c r="I41" s="176"/>
      <c r="J41" s="172">
        <v>8855</v>
      </c>
      <c r="K41" s="168">
        <v>0</v>
      </c>
      <c r="L41" s="168">
        <v>0</v>
      </c>
      <c r="M41" s="168">
        <v>0</v>
      </c>
      <c r="N41" s="177"/>
    </row>
    <row r="42" spans="1:14">
      <c r="A42" s="168">
        <v>21081737</v>
      </c>
      <c r="B42" s="167" t="s">
        <v>271</v>
      </c>
      <c r="C42" s="168" t="s">
        <v>196</v>
      </c>
      <c r="D42" s="168">
        <v>4.33</v>
      </c>
      <c r="E42" s="168" t="s">
        <v>200</v>
      </c>
      <c r="F42" s="168">
        <v>0.88566</v>
      </c>
      <c r="G42" s="168">
        <v>0.88349999999999995</v>
      </c>
      <c r="H42" s="168">
        <v>0</v>
      </c>
      <c r="I42" s="167" t="s">
        <v>272</v>
      </c>
      <c r="J42" s="168">
        <v>0.88349999999999995</v>
      </c>
      <c r="K42" s="168" t="s">
        <v>195</v>
      </c>
      <c r="L42" s="168"/>
      <c r="M42" s="168"/>
      <c r="N42" s="168">
        <v>-1058.6099999999999</v>
      </c>
    </row>
    <row r="43" spans="1:14">
      <c r="A43" s="168"/>
      <c r="B43" s="166"/>
      <c r="C43" s="166"/>
      <c r="D43" s="166"/>
      <c r="E43" s="166"/>
      <c r="F43" s="166"/>
      <c r="G43" s="166"/>
      <c r="H43" s="166"/>
      <c r="I43" s="166"/>
      <c r="J43" s="168">
        <v>8855</v>
      </c>
      <c r="K43" s="170">
        <v>0</v>
      </c>
      <c r="L43" s="170">
        <v>0</v>
      </c>
      <c r="M43" s="170">
        <v>0</v>
      </c>
      <c r="N43" s="177"/>
    </row>
    <row r="44" spans="1:14">
      <c r="A44" s="170">
        <v>21080326</v>
      </c>
      <c r="B44" s="169" t="s">
        <v>263</v>
      </c>
      <c r="C44" s="170" t="s">
        <v>196</v>
      </c>
      <c r="D44" s="170">
        <v>4.83</v>
      </c>
      <c r="E44" s="170" t="s">
        <v>202</v>
      </c>
      <c r="F44" s="171">
        <v>110255</v>
      </c>
      <c r="G44" s="171">
        <v>110090</v>
      </c>
      <c r="H44" s="170">
        <v>0</v>
      </c>
      <c r="I44" s="169" t="s">
        <v>264</v>
      </c>
      <c r="J44" s="171">
        <v>110090</v>
      </c>
      <c r="K44" s="172" t="s">
        <v>198</v>
      </c>
      <c r="L44" s="172"/>
      <c r="M44" s="172"/>
      <c r="N44" s="170">
        <v>-723.91</v>
      </c>
    </row>
    <row r="45" spans="1:14">
      <c r="A45" s="172"/>
      <c r="B45" s="176"/>
      <c r="C45" s="176"/>
      <c r="D45" s="176"/>
      <c r="E45" s="176"/>
      <c r="F45" s="176"/>
      <c r="G45" s="176"/>
      <c r="H45" s="176"/>
      <c r="I45" s="176"/>
      <c r="J45" s="172">
        <v>8855</v>
      </c>
      <c r="K45" s="168">
        <v>0</v>
      </c>
      <c r="L45" s="168">
        <v>0</v>
      </c>
      <c r="M45" s="168">
        <v>-85.52</v>
      </c>
      <c r="N45" s="177"/>
    </row>
    <row r="46" spans="1:14">
      <c r="A46" s="168">
        <v>21069701</v>
      </c>
      <c r="B46" s="167" t="s">
        <v>243</v>
      </c>
      <c r="C46" s="168" t="s">
        <v>196</v>
      </c>
      <c r="D46" s="168">
        <v>7.07</v>
      </c>
      <c r="E46" s="168" t="s">
        <v>202</v>
      </c>
      <c r="F46" s="173">
        <v>110305</v>
      </c>
      <c r="G46" s="173">
        <v>110050</v>
      </c>
      <c r="H46" s="168">
        <v>0</v>
      </c>
      <c r="I46" s="167" t="s">
        <v>244</v>
      </c>
      <c r="J46" s="173">
        <v>110050</v>
      </c>
      <c r="K46" s="168" t="s">
        <v>195</v>
      </c>
      <c r="L46" s="168"/>
      <c r="M46" s="168"/>
      <c r="N46" s="168">
        <v>-1638.21</v>
      </c>
    </row>
    <row r="47" spans="1:14">
      <c r="A47" s="168"/>
      <c r="B47" s="166"/>
      <c r="C47" s="166"/>
      <c r="D47" s="166"/>
      <c r="E47" s="166"/>
      <c r="F47" s="166"/>
      <c r="G47" s="166"/>
      <c r="H47" s="166"/>
      <c r="I47" s="166"/>
      <c r="J47" s="168">
        <v>8855</v>
      </c>
      <c r="K47" s="170">
        <v>0</v>
      </c>
      <c r="L47" s="170">
        <v>0</v>
      </c>
      <c r="M47" s="170">
        <v>-8.19</v>
      </c>
      <c r="N47" s="177"/>
    </row>
    <row r="48" spans="1:14">
      <c r="A48" s="170">
        <v>21076560</v>
      </c>
      <c r="B48" s="169" t="s">
        <v>257</v>
      </c>
      <c r="C48" s="170" t="s">
        <v>193</v>
      </c>
      <c r="D48" s="170">
        <v>9.64</v>
      </c>
      <c r="E48" s="170" t="s">
        <v>194</v>
      </c>
      <c r="F48" s="170">
        <v>0.82150000000000001</v>
      </c>
      <c r="G48" s="170">
        <v>0.82169999999999999</v>
      </c>
      <c r="H48" s="170">
        <v>0</v>
      </c>
      <c r="I48" s="169" t="s">
        <v>258</v>
      </c>
      <c r="J48" s="170">
        <v>0.82169999999999999</v>
      </c>
      <c r="K48" s="172" t="s">
        <v>195</v>
      </c>
      <c r="L48" s="172"/>
      <c r="M48" s="172"/>
      <c r="N48" s="170">
        <v>-324.32</v>
      </c>
    </row>
    <row r="49" spans="1:14">
      <c r="A49" s="172"/>
      <c r="B49" s="176"/>
      <c r="C49" s="176"/>
      <c r="D49" s="176"/>
      <c r="E49" s="176"/>
      <c r="F49" s="176"/>
      <c r="G49" s="176"/>
      <c r="H49" s="176"/>
      <c r="I49" s="176"/>
      <c r="J49" s="172">
        <v>8855</v>
      </c>
      <c r="K49" s="168">
        <v>0</v>
      </c>
      <c r="L49" s="168">
        <v>0</v>
      </c>
      <c r="M49" s="168">
        <v>0</v>
      </c>
      <c r="N49" s="177"/>
    </row>
    <row r="50" spans="1:14">
      <c r="A50" s="168">
        <v>21082902</v>
      </c>
      <c r="B50" s="167" t="s">
        <v>275</v>
      </c>
      <c r="C50" s="168" t="s">
        <v>196</v>
      </c>
      <c r="D50" s="168">
        <v>2.73</v>
      </c>
      <c r="E50" s="168" t="s">
        <v>197</v>
      </c>
      <c r="F50" s="173">
        <v>138105</v>
      </c>
      <c r="G50" s="173">
        <v>138080</v>
      </c>
      <c r="H50" s="168">
        <v>0</v>
      </c>
      <c r="I50" s="167" t="s">
        <v>276</v>
      </c>
      <c r="J50" s="173">
        <v>138080</v>
      </c>
      <c r="K50" s="168" t="s">
        <v>198</v>
      </c>
      <c r="L50" s="168"/>
      <c r="M50" s="168"/>
      <c r="N50" s="168">
        <v>-68.25</v>
      </c>
    </row>
    <row r="51" spans="1:14">
      <c r="A51" s="168"/>
      <c r="B51" s="166"/>
      <c r="C51" s="166"/>
      <c r="D51" s="166"/>
      <c r="E51" s="166"/>
      <c r="F51" s="166"/>
      <c r="G51" s="166"/>
      <c r="H51" s="166"/>
      <c r="I51" s="166"/>
      <c r="J51" s="168">
        <v>8855</v>
      </c>
      <c r="K51" s="170">
        <v>0</v>
      </c>
      <c r="L51" s="170">
        <v>0</v>
      </c>
      <c r="M51" s="170">
        <v>0</v>
      </c>
      <c r="N51" s="177"/>
    </row>
    <row r="52" spans="1:14">
      <c r="A52" s="170">
        <v>21082103</v>
      </c>
      <c r="B52" s="169" t="s">
        <v>273</v>
      </c>
      <c r="C52" s="170" t="s">
        <v>193</v>
      </c>
      <c r="D52" s="170">
        <v>5.85</v>
      </c>
      <c r="E52" s="170" t="s">
        <v>200</v>
      </c>
      <c r="F52" s="170">
        <v>0.88412000000000002</v>
      </c>
      <c r="G52" s="170">
        <v>0.88617000000000001</v>
      </c>
      <c r="H52" s="170">
        <v>0</v>
      </c>
      <c r="I52" s="169" t="s">
        <v>274</v>
      </c>
      <c r="J52" s="170">
        <v>0.88617000000000001</v>
      </c>
      <c r="K52" s="172" t="s">
        <v>198</v>
      </c>
      <c r="L52" s="172"/>
      <c r="M52" s="172"/>
      <c r="N52" s="170">
        <v>-1353.3</v>
      </c>
    </row>
    <row r="53" spans="1:14">
      <c r="A53" s="172"/>
      <c r="B53" s="176"/>
      <c r="C53" s="176"/>
      <c r="D53" s="176"/>
      <c r="E53" s="176"/>
      <c r="F53" s="176"/>
      <c r="G53" s="176"/>
      <c r="H53" s="176"/>
      <c r="I53" s="176"/>
      <c r="J53" s="172">
        <v>8855</v>
      </c>
      <c r="K53" s="168">
        <v>0</v>
      </c>
      <c r="L53" s="168">
        <v>0</v>
      </c>
      <c r="M53" s="168">
        <v>15.17</v>
      </c>
      <c r="N53" s="177"/>
    </row>
    <row r="54" spans="1:14">
      <c r="A54" s="168">
        <v>21080658</v>
      </c>
      <c r="B54" s="167" t="s">
        <v>265</v>
      </c>
      <c r="C54" s="168" t="s">
        <v>196</v>
      </c>
      <c r="D54" s="168">
        <v>2.84</v>
      </c>
      <c r="E54" s="168" t="s">
        <v>201</v>
      </c>
      <c r="F54" s="168">
        <v>0.93518000000000001</v>
      </c>
      <c r="G54" s="168">
        <v>0.93579999999999997</v>
      </c>
      <c r="H54" s="168">
        <v>0</v>
      </c>
      <c r="I54" s="167" t="s">
        <v>266</v>
      </c>
      <c r="J54" s="168">
        <v>0.93579999999999997</v>
      </c>
      <c r="K54" s="168" t="s">
        <v>198</v>
      </c>
      <c r="L54" s="168"/>
      <c r="M54" s="168"/>
      <c r="N54" s="168">
        <v>176.08</v>
      </c>
    </row>
    <row r="55" spans="1:14">
      <c r="A55" s="168"/>
      <c r="B55" s="166"/>
      <c r="C55" s="166"/>
      <c r="D55" s="166"/>
      <c r="E55" s="166"/>
      <c r="F55" s="166"/>
      <c r="G55" s="166"/>
      <c r="H55" s="166"/>
      <c r="I55" s="166"/>
      <c r="J55" s="168">
        <v>8855</v>
      </c>
      <c r="K55" s="170">
        <v>0</v>
      </c>
      <c r="L55" s="170">
        <v>0</v>
      </c>
      <c r="M55" s="170">
        <v>23.72</v>
      </c>
      <c r="N55" s="177"/>
    </row>
    <row r="56" spans="1:14">
      <c r="A56" s="170">
        <v>21081628</v>
      </c>
      <c r="B56" s="169" t="s">
        <v>269</v>
      </c>
      <c r="C56" s="170" t="s">
        <v>196</v>
      </c>
      <c r="D56" s="170">
        <v>4.4400000000000004</v>
      </c>
      <c r="E56" s="170" t="s">
        <v>201</v>
      </c>
      <c r="F56" s="170">
        <v>0.93635000000000002</v>
      </c>
      <c r="G56" s="170">
        <v>0.93430000000000002</v>
      </c>
      <c r="H56" s="170">
        <v>0</v>
      </c>
      <c r="I56" s="169" t="s">
        <v>270</v>
      </c>
      <c r="J56" s="170">
        <v>0.93430000000000002</v>
      </c>
      <c r="K56" s="172" t="s">
        <v>195</v>
      </c>
      <c r="L56" s="172"/>
      <c r="M56" s="172"/>
      <c r="N56" s="170">
        <v>-910.2</v>
      </c>
    </row>
    <row r="57" spans="1:14">
      <c r="A57" s="172"/>
      <c r="B57" s="176"/>
      <c r="C57" s="176"/>
      <c r="D57" s="176"/>
      <c r="E57" s="176"/>
      <c r="F57" s="176"/>
      <c r="G57" s="176"/>
      <c r="H57" s="176"/>
      <c r="I57" s="176"/>
      <c r="J57" s="172">
        <v>8855</v>
      </c>
      <c r="K57" s="168">
        <v>0</v>
      </c>
      <c r="L57" s="168">
        <v>0</v>
      </c>
      <c r="M57" s="168">
        <v>-6.48</v>
      </c>
      <c r="N57" s="177"/>
    </row>
    <row r="58" spans="1:14">
      <c r="A58" s="168">
        <v>21081594</v>
      </c>
      <c r="B58" s="167" t="s">
        <v>267</v>
      </c>
      <c r="C58" s="168" t="s">
        <v>196</v>
      </c>
      <c r="D58" s="168">
        <v>5.9</v>
      </c>
      <c r="E58" s="168" t="s">
        <v>199</v>
      </c>
      <c r="F58" s="173">
        <v>168007</v>
      </c>
      <c r="G58" s="173">
        <v>168230</v>
      </c>
      <c r="H58" s="168">
        <v>0</v>
      </c>
      <c r="I58" s="167" t="s">
        <v>268</v>
      </c>
      <c r="J58" s="173">
        <v>168230</v>
      </c>
      <c r="K58" s="168" t="s">
        <v>198</v>
      </c>
      <c r="L58" s="168"/>
      <c r="M58" s="168"/>
      <c r="N58" s="168">
        <v>1315.7</v>
      </c>
    </row>
    <row r="59" spans="1:14">
      <c r="A59" s="168"/>
      <c r="B59" s="166"/>
      <c r="C59" s="166"/>
      <c r="D59" s="166"/>
      <c r="E59" s="166"/>
      <c r="F59" s="166"/>
      <c r="G59" s="166"/>
      <c r="H59" s="166"/>
      <c r="I59" s="166"/>
      <c r="J59" s="168">
        <v>8855</v>
      </c>
      <c r="K59" s="170">
        <v>0</v>
      </c>
      <c r="L59" s="170">
        <v>0</v>
      </c>
      <c r="M59" s="170">
        <v>0</v>
      </c>
      <c r="N59" s="177"/>
    </row>
    <row r="60" spans="1:14">
      <c r="A60" s="170">
        <v>21093248</v>
      </c>
      <c r="B60" s="169" t="s">
        <v>281</v>
      </c>
      <c r="C60" s="170" t="s">
        <v>196</v>
      </c>
      <c r="D60" s="170">
        <v>3.98</v>
      </c>
      <c r="E60" s="170" t="s">
        <v>197</v>
      </c>
      <c r="F60" s="171">
        <v>138225</v>
      </c>
      <c r="G60" s="171">
        <v>138040</v>
      </c>
      <c r="H60" s="170">
        <v>0</v>
      </c>
      <c r="I60" s="169" t="s">
        <v>282</v>
      </c>
      <c r="J60" s="171">
        <v>138040</v>
      </c>
      <c r="K60" s="172" t="s">
        <v>198</v>
      </c>
      <c r="L60" s="172"/>
      <c r="M60" s="172"/>
      <c r="N60" s="170">
        <v>-736.3</v>
      </c>
    </row>
    <row r="61" spans="1:14">
      <c r="A61" s="172"/>
      <c r="B61" s="176"/>
      <c r="C61" s="176"/>
      <c r="D61" s="176"/>
      <c r="E61" s="176"/>
      <c r="F61" s="176"/>
      <c r="G61" s="176"/>
      <c r="H61" s="176"/>
      <c r="I61" s="176"/>
      <c r="J61" s="172">
        <v>8855</v>
      </c>
      <c r="K61" s="168">
        <v>0</v>
      </c>
      <c r="L61" s="168">
        <v>0</v>
      </c>
      <c r="M61" s="168">
        <v>0</v>
      </c>
      <c r="N61" s="177"/>
    </row>
    <row r="62" spans="1:14">
      <c r="A62" s="168">
        <v>21091808</v>
      </c>
      <c r="B62" s="167" t="s">
        <v>279</v>
      </c>
      <c r="C62" s="168" t="s">
        <v>196</v>
      </c>
      <c r="D62" s="168">
        <v>5.34</v>
      </c>
      <c r="E62" s="168" t="s">
        <v>202</v>
      </c>
      <c r="F62" s="173">
        <v>110373</v>
      </c>
      <c r="G62" s="173">
        <v>110240</v>
      </c>
      <c r="H62" s="168">
        <v>0</v>
      </c>
      <c r="I62" s="167" t="s">
        <v>280</v>
      </c>
      <c r="J62" s="173">
        <v>110240</v>
      </c>
      <c r="K62" s="168" t="s">
        <v>198</v>
      </c>
      <c r="L62" s="168"/>
      <c r="M62" s="168"/>
      <c r="N62" s="168">
        <v>-644.25</v>
      </c>
    </row>
    <row r="63" spans="1:14">
      <c r="A63" s="168"/>
      <c r="B63" s="166"/>
      <c r="C63" s="166"/>
      <c r="D63" s="166"/>
      <c r="E63" s="166"/>
      <c r="F63" s="166"/>
      <c r="G63" s="166"/>
      <c r="H63" s="166"/>
      <c r="I63" s="166"/>
      <c r="J63" s="168">
        <v>8855</v>
      </c>
      <c r="K63" s="170">
        <v>0</v>
      </c>
      <c r="L63" s="170">
        <v>0</v>
      </c>
      <c r="M63" s="170">
        <v>-10.77</v>
      </c>
      <c r="N63" s="177"/>
    </row>
    <row r="64" spans="1:14">
      <c r="A64" s="170">
        <v>21087334</v>
      </c>
      <c r="B64" s="169" t="s">
        <v>277</v>
      </c>
      <c r="C64" s="170" t="s">
        <v>196</v>
      </c>
      <c r="D64" s="170">
        <v>1.78</v>
      </c>
      <c r="E64" s="170" t="s">
        <v>202</v>
      </c>
      <c r="F64" s="171">
        <v>110385</v>
      </c>
      <c r="G64" s="171">
        <v>110220</v>
      </c>
      <c r="H64" s="170">
        <v>0</v>
      </c>
      <c r="I64" s="169" t="s">
        <v>278</v>
      </c>
      <c r="J64" s="171">
        <v>110220</v>
      </c>
      <c r="K64" s="172" t="s">
        <v>195</v>
      </c>
      <c r="L64" s="172"/>
      <c r="M64" s="172"/>
      <c r="N64" s="170">
        <v>-266.47000000000003</v>
      </c>
    </row>
    <row r="65" spans="1:14">
      <c r="A65" s="172"/>
      <c r="B65" s="176"/>
      <c r="C65" s="176"/>
      <c r="D65" s="176"/>
      <c r="E65" s="176"/>
      <c r="F65" s="176"/>
      <c r="G65" s="176"/>
      <c r="H65" s="176"/>
      <c r="I65" s="176"/>
      <c r="J65" s="172">
        <v>8855</v>
      </c>
      <c r="K65" s="168">
        <v>0</v>
      </c>
      <c r="L65" s="168">
        <v>0</v>
      </c>
      <c r="M65" s="168">
        <v>-21.36</v>
      </c>
      <c r="N65" s="177"/>
    </row>
    <row r="66" spans="1:14">
      <c r="A66" s="168">
        <v>21073296</v>
      </c>
      <c r="B66" s="167" t="s">
        <v>288</v>
      </c>
      <c r="C66" s="168" t="s">
        <v>196</v>
      </c>
      <c r="D66" s="168">
        <v>9.73</v>
      </c>
      <c r="E66" s="168" t="s">
        <v>199</v>
      </c>
      <c r="F66" s="173">
        <v>168067</v>
      </c>
      <c r="G66" s="173">
        <v>167700</v>
      </c>
      <c r="H66" s="168">
        <v>0</v>
      </c>
      <c r="I66" s="167" t="s">
        <v>289</v>
      </c>
      <c r="J66" s="173">
        <v>167700</v>
      </c>
      <c r="K66" s="168" t="s">
        <v>203</v>
      </c>
      <c r="L66" s="168"/>
      <c r="M66" s="168"/>
      <c r="N66" s="168">
        <v>-3570.91</v>
      </c>
    </row>
    <row r="67" spans="1:14">
      <c r="A67" s="168"/>
      <c r="B67" s="166"/>
      <c r="C67" s="166"/>
      <c r="D67" s="166"/>
      <c r="E67" s="166"/>
      <c r="F67" s="166"/>
      <c r="G67" s="166"/>
      <c r="H67" s="166"/>
      <c r="I67" s="166"/>
      <c r="J67" s="168">
        <v>8855</v>
      </c>
      <c r="K67" s="170">
        <v>0</v>
      </c>
      <c r="L67" s="170">
        <v>0</v>
      </c>
      <c r="M67" s="170">
        <v>0</v>
      </c>
      <c r="N67" s="177"/>
    </row>
    <row r="68" spans="1:14">
      <c r="A68" s="170">
        <v>21097886</v>
      </c>
      <c r="B68" s="169" t="s">
        <v>292</v>
      </c>
      <c r="C68" s="170" t="s">
        <v>196</v>
      </c>
      <c r="D68" s="170">
        <v>2.4700000000000002</v>
      </c>
      <c r="E68" s="170" t="s">
        <v>202</v>
      </c>
      <c r="F68" s="171">
        <v>110515</v>
      </c>
      <c r="G68" s="171">
        <v>110220</v>
      </c>
      <c r="H68" s="170">
        <v>0</v>
      </c>
      <c r="I68" s="169" t="s">
        <v>293</v>
      </c>
      <c r="J68" s="171">
        <v>110220</v>
      </c>
      <c r="K68" s="172" t="s">
        <v>198</v>
      </c>
      <c r="L68" s="172"/>
      <c r="M68" s="172"/>
      <c r="N68" s="170">
        <v>-661.09</v>
      </c>
    </row>
    <row r="69" spans="1:14">
      <c r="A69" s="172"/>
      <c r="B69" s="176"/>
      <c r="C69" s="176"/>
      <c r="D69" s="176"/>
      <c r="E69" s="176"/>
      <c r="F69" s="176"/>
      <c r="G69" s="176"/>
      <c r="H69" s="176"/>
      <c r="I69" s="176"/>
      <c r="J69" s="172">
        <v>8855</v>
      </c>
      <c r="K69" s="168">
        <v>0</v>
      </c>
      <c r="L69" s="168">
        <v>0</v>
      </c>
      <c r="M69" s="168">
        <v>0</v>
      </c>
      <c r="N69" s="177"/>
    </row>
    <row r="70" spans="1:14">
      <c r="A70" s="168">
        <v>21097887</v>
      </c>
      <c r="B70" s="167" t="s">
        <v>294</v>
      </c>
      <c r="C70" s="168" t="s">
        <v>196</v>
      </c>
      <c r="D70" s="168">
        <v>4.9400000000000004</v>
      </c>
      <c r="E70" s="168" t="s">
        <v>202</v>
      </c>
      <c r="F70" s="173">
        <v>110515</v>
      </c>
      <c r="G70" s="173">
        <v>110220</v>
      </c>
      <c r="H70" s="168">
        <v>0</v>
      </c>
      <c r="I70" s="167" t="s">
        <v>293</v>
      </c>
      <c r="J70" s="173">
        <v>110220</v>
      </c>
      <c r="K70" s="168" t="s">
        <v>195</v>
      </c>
      <c r="L70" s="168"/>
      <c r="M70" s="168"/>
      <c r="N70" s="168">
        <v>-1322.17</v>
      </c>
    </row>
    <row r="71" spans="1:14">
      <c r="A71" s="168"/>
      <c r="B71" s="166"/>
      <c r="C71" s="166"/>
      <c r="D71" s="166"/>
      <c r="E71" s="166"/>
      <c r="F71" s="166"/>
      <c r="G71" s="166"/>
      <c r="H71" s="166"/>
      <c r="I71" s="166"/>
      <c r="J71" s="168">
        <v>8855</v>
      </c>
      <c r="K71" s="170">
        <v>0</v>
      </c>
      <c r="L71" s="170">
        <v>0</v>
      </c>
      <c r="M71" s="170">
        <v>0</v>
      </c>
      <c r="N71" s="177"/>
    </row>
    <row r="72" spans="1:14">
      <c r="A72" s="170">
        <v>21092539</v>
      </c>
      <c r="B72" s="169" t="s">
        <v>290</v>
      </c>
      <c r="C72" s="170" t="s">
        <v>193</v>
      </c>
      <c r="D72" s="170">
        <v>0.75</v>
      </c>
      <c r="E72" s="170" t="s">
        <v>201</v>
      </c>
      <c r="F72" s="170">
        <v>0.92832999999999999</v>
      </c>
      <c r="G72" s="170">
        <v>0.92930000000000001</v>
      </c>
      <c r="H72" s="170">
        <v>0</v>
      </c>
      <c r="I72" s="169" t="s">
        <v>291</v>
      </c>
      <c r="J72" s="170">
        <v>0.92930000000000001</v>
      </c>
      <c r="K72" s="172" t="s">
        <v>198</v>
      </c>
      <c r="L72" s="172"/>
      <c r="M72" s="172"/>
      <c r="N72" s="170">
        <v>-72.75</v>
      </c>
    </row>
    <row r="73" spans="1:14">
      <c r="A73" s="172"/>
      <c r="B73" s="176"/>
      <c r="C73" s="176"/>
      <c r="D73" s="176"/>
      <c r="E73" s="176"/>
      <c r="F73" s="176"/>
      <c r="G73" s="176"/>
      <c r="H73" s="176"/>
      <c r="I73" s="176"/>
      <c r="J73" s="172">
        <v>8855</v>
      </c>
      <c r="K73" s="168">
        <v>0</v>
      </c>
      <c r="L73" s="168">
        <v>0</v>
      </c>
      <c r="M73" s="168">
        <v>0</v>
      </c>
      <c r="N73" s="177"/>
    </row>
    <row r="74" spans="1:14">
      <c r="A74" s="168">
        <v>21102883</v>
      </c>
      <c r="B74" s="167" t="s">
        <v>303</v>
      </c>
      <c r="C74" s="168" t="s">
        <v>196</v>
      </c>
      <c r="D74" s="168">
        <v>4.29</v>
      </c>
      <c r="E74" s="168" t="s">
        <v>201</v>
      </c>
      <c r="F74" s="168">
        <v>0.92959999999999998</v>
      </c>
      <c r="G74" s="168">
        <v>0.92830000000000001</v>
      </c>
      <c r="H74" s="168">
        <v>0</v>
      </c>
      <c r="I74" s="167" t="s">
        <v>304</v>
      </c>
      <c r="J74" s="168">
        <v>0.92830000000000001</v>
      </c>
      <c r="K74" s="168" t="s">
        <v>198</v>
      </c>
      <c r="L74" s="168"/>
      <c r="M74" s="168"/>
      <c r="N74" s="168">
        <v>-557.70000000000005</v>
      </c>
    </row>
    <row r="75" spans="1:14">
      <c r="A75" s="168"/>
      <c r="B75" s="166"/>
      <c r="C75" s="166"/>
      <c r="D75" s="166"/>
      <c r="E75" s="166"/>
      <c r="F75" s="166"/>
      <c r="G75" s="166"/>
      <c r="H75" s="166"/>
      <c r="I75" s="166"/>
      <c r="J75" s="168">
        <v>8855</v>
      </c>
      <c r="K75" s="170">
        <v>0</v>
      </c>
      <c r="L75" s="170">
        <v>0</v>
      </c>
      <c r="M75" s="170">
        <v>0</v>
      </c>
      <c r="N75" s="177"/>
    </row>
    <row r="76" spans="1:14">
      <c r="A76" s="170">
        <v>21103530</v>
      </c>
      <c r="B76" s="169" t="s">
        <v>305</v>
      </c>
      <c r="C76" s="170" t="s">
        <v>196</v>
      </c>
      <c r="D76" s="170">
        <v>4.2699999999999996</v>
      </c>
      <c r="E76" s="170" t="s">
        <v>197</v>
      </c>
      <c r="F76" s="171">
        <v>138265</v>
      </c>
      <c r="G76" s="171">
        <v>138170</v>
      </c>
      <c r="H76" s="170">
        <v>0</v>
      </c>
      <c r="I76" s="169" t="s">
        <v>306</v>
      </c>
      <c r="J76" s="171">
        <v>138170</v>
      </c>
      <c r="K76" s="172" t="s">
        <v>198</v>
      </c>
      <c r="L76" s="172"/>
      <c r="M76" s="172"/>
      <c r="N76" s="170">
        <v>-405.65</v>
      </c>
    </row>
    <row r="77" spans="1:14">
      <c r="A77" s="172"/>
      <c r="B77" s="176"/>
      <c r="C77" s="176"/>
      <c r="D77" s="176"/>
      <c r="E77" s="176"/>
      <c r="F77" s="176"/>
      <c r="G77" s="176"/>
      <c r="H77" s="176"/>
      <c r="I77" s="176"/>
      <c r="J77" s="172">
        <v>8855</v>
      </c>
      <c r="K77" s="168">
        <v>0</v>
      </c>
      <c r="L77" s="168">
        <v>0</v>
      </c>
      <c r="M77" s="168">
        <v>-17.71</v>
      </c>
      <c r="N77" s="177"/>
    </row>
    <row r="78" spans="1:14">
      <c r="A78" s="168">
        <v>21094583</v>
      </c>
      <c r="B78" s="167" t="s">
        <v>299</v>
      </c>
      <c r="C78" s="168" t="s">
        <v>193</v>
      </c>
      <c r="D78" s="168">
        <v>3</v>
      </c>
      <c r="E78" s="168" t="s">
        <v>200</v>
      </c>
      <c r="F78" s="168">
        <v>0.88253999999999999</v>
      </c>
      <c r="G78" s="168">
        <v>0.88370000000000004</v>
      </c>
      <c r="H78" s="168">
        <v>0</v>
      </c>
      <c r="I78" s="167" t="s">
        <v>300</v>
      </c>
      <c r="J78" s="168">
        <v>0.88370000000000004</v>
      </c>
      <c r="K78" s="168" t="s">
        <v>198</v>
      </c>
      <c r="L78" s="168"/>
      <c r="M78" s="168"/>
      <c r="N78" s="168">
        <v>-393.8</v>
      </c>
    </row>
    <row r="79" spans="1:14">
      <c r="A79" s="168"/>
      <c r="B79" s="166"/>
      <c r="C79" s="166"/>
      <c r="D79" s="166"/>
      <c r="E79" s="166"/>
      <c r="F79" s="166"/>
      <c r="G79" s="166"/>
      <c r="H79" s="166"/>
      <c r="I79" s="166"/>
      <c r="J79" s="168">
        <v>8855</v>
      </c>
      <c r="K79" s="170">
        <v>0</v>
      </c>
      <c r="L79" s="170">
        <v>0</v>
      </c>
      <c r="M79" s="170">
        <v>-42.12</v>
      </c>
      <c r="N79" s="177"/>
    </row>
    <row r="80" spans="1:14">
      <c r="A80" s="170">
        <v>21094512</v>
      </c>
      <c r="B80" s="169" t="s">
        <v>297</v>
      </c>
      <c r="C80" s="170" t="s">
        <v>196</v>
      </c>
      <c r="D80" s="170">
        <v>3.74</v>
      </c>
      <c r="E80" s="170" t="s">
        <v>194</v>
      </c>
      <c r="F80" s="170">
        <v>0.82264999999999999</v>
      </c>
      <c r="G80" s="170">
        <v>0.82279999999999998</v>
      </c>
      <c r="H80" s="170">
        <v>0</v>
      </c>
      <c r="I80" s="169" t="s">
        <v>298</v>
      </c>
      <c r="J80" s="170">
        <v>0.82279999999999998</v>
      </c>
      <c r="K80" s="172" t="s">
        <v>198</v>
      </c>
      <c r="L80" s="172"/>
      <c r="M80" s="172"/>
      <c r="N80" s="170">
        <v>94.18</v>
      </c>
    </row>
    <row r="81" spans="1:14">
      <c r="A81" s="172"/>
      <c r="B81" s="176"/>
      <c r="C81" s="176"/>
      <c r="D81" s="176"/>
      <c r="E81" s="176"/>
      <c r="F81" s="176"/>
      <c r="G81" s="176"/>
      <c r="H81" s="176"/>
      <c r="I81" s="176"/>
      <c r="J81" s="172">
        <v>8855</v>
      </c>
      <c r="K81" s="168">
        <v>0</v>
      </c>
      <c r="L81" s="168">
        <v>0</v>
      </c>
      <c r="M81" s="168">
        <v>-25.24</v>
      </c>
      <c r="N81" s="177"/>
    </row>
    <row r="82" spans="1:14">
      <c r="A82" s="168">
        <v>21096026</v>
      </c>
      <c r="B82" s="167" t="s">
        <v>301</v>
      </c>
      <c r="C82" s="168" t="s">
        <v>193</v>
      </c>
      <c r="D82" s="168">
        <v>1.87</v>
      </c>
      <c r="E82" s="168" t="s">
        <v>199</v>
      </c>
      <c r="F82" s="173">
        <v>167853</v>
      </c>
      <c r="G82" s="173">
        <v>167950</v>
      </c>
      <c r="H82" s="168">
        <v>0</v>
      </c>
      <c r="I82" s="167" t="s">
        <v>302</v>
      </c>
      <c r="J82" s="173">
        <v>167950</v>
      </c>
      <c r="K82" s="168" t="s">
        <v>198</v>
      </c>
      <c r="L82" s="168"/>
      <c r="M82" s="168"/>
      <c r="N82" s="168">
        <v>-181.39</v>
      </c>
    </row>
    <row r="83" spans="1:14">
      <c r="A83" s="168"/>
      <c r="B83" s="166"/>
      <c r="C83" s="166"/>
      <c r="D83" s="166"/>
      <c r="E83" s="166"/>
      <c r="F83" s="166"/>
      <c r="G83" s="166"/>
      <c r="H83" s="166"/>
      <c r="I83" s="166"/>
      <c r="J83" s="168">
        <v>8855</v>
      </c>
      <c r="K83" s="170">
        <v>0</v>
      </c>
      <c r="L83" s="170">
        <v>0</v>
      </c>
      <c r="M83" s="170">
        <v>0</v>
      </c>
      <c r="N83" s="177"/>
    </row>
    <row r="84" spans="1:14">
      <c r="A84" s="170">
        <v>21105547</v>
      </c>
      <c r="B84" s="169" t="s">
        <v>311</v>
      </c>
      <c r="C84" s="170" t="s">
        <v>196</v>
      </c>
      <c r="D84" s="170">
        <v>3.34</v>
      </c>
      <c r="E84" s="170" t="s">
        <v>197</v>
      </c>
      <c r="F84" s="171">
        <v>138378</v>
      </c>
      <c r="G84" s="171">
        <v>138180</v>
      </c>
      <c r="H84" s="170">
        <v>0</v>
      </c>
      <c r="I84" s="169" t="s">
        <v>312</v>
      </c>
      <c r="J84" s="171">
        <v>138180</v>
      </c>
      <c r="K84" s="172" t="s">
        <v>198</v>
      </c>
      <c r="L84" s="172"/>
      <c r="M84" s="172"/>
      <c r="N84" s="170">
        <v>-661.32</v>
      </c>
    </row>
    <row r="85" spans="1:14">
      <c r="A85" s="172"/>
      <c r="B85" s="176"/>
      <c r="C85" s="176"/>
      <c r="D85" s="176"/>
      <c r="E85" s="176"/>
      <c r="F85" s="176"/>
      <c r="G85" s="176"/>
      <c r="H85" s="176"/>
      <c r="I85" s="176"/>
      <c r="J85" s="172">
        <v>8855</v>
      </c>
      <c r="K85" s="168">
        <v>0</v>
      </c>
      <c r="L85" s="168">
        <v>0</v>
      </c>
      <c r="M85" s="168">
        <v>0</v>
      </c>
      <c r="N85" s="177"/>
    </row>
    <row r="86" spans="1:14">
      <c r="A86" s="168">
        <v>21104850</v>
      </c>
      <c r="B86" s="167" t="s">
        <v>309</v>
      </c>
      <c r="C86" s="168" t="s">
        <v>193</v>
      </c>
      <c r="D86" s="168">
        <v>4.4800000000000004</v>
      </c>
      <c r="E86" s="168" t="s">
        <v>200</v>
      </c>
      <c r="F86" s="168">
        <v>0.88224000000000002</v>
      </c>
      <c r="G86" s="168">
        <v>0.88339999999999996</v>
      </c>
      <c r="H86" s="168">
        <v>0</v>
      </c>
      <c r="I86" s="167" t="s">
        <v>310</v>
      </c>
      <c r="J86" s="168">
        <v>0.88339999999999996</v>
      </c>
      <c r="K86" s="168" t="s">
        <v>198</v>
      </c>
      <c r="L86" s="168"/>
      <c r="M86" s="168"/>
      <c r="N86" s="168">
        <v>-588.27</v>
      </c>
    </row>
    <row r="87" spans="1:14">
      <c r="A87" s="168"/>
      <c r="B87" s="166"/>
      <c r="C87" s="166"/>
      <c r="D87" s="166"/>
      <c r="E87" s="166"/>
      <c r="F87" s="166"/>
      <c r="G87" s="166"/>
      <c r="H87" s="166"/>
      <c r="I87" s="166"/>
      <c r="J87" s="168">
        <v>8855</v>
      </c>
      <c r="K87" s="170">
        <v>0</v>
      </c>
      <c r="L87" s="170">
        <v>0</v>
      </c>
      <c r="M87" s="170">
        <v>0</v>
      </c>
      <c r="N87" s="177"/>
    </row>
    <row r="88" spans="1:14">
      <c r="A88" s="170">
        <v>21104777</v>
      </c>
      <c r="B88" s="169" t="s">
        <v>307</v>
      </c>
      <c r="C88" s="170" t="s">
        <v>196</v>
      </c>
      <c r="D88" s="170">
        <v>4.17</v>
      </c>
      <c r="E88" s="170" t="s">
        <v>199</v>
      </c>
      <c r="F88" s="171">
        <v>167950</v>
      </c>
      <c r="G88" s="171">
        <v>167790</v>
      </c>
      <c r="H88" s="170">
        <v>0</v>
      </c>
      <c r="I88" s="169" t="s">
        <v>308</v>
      </c>
      <c r="J88" s="171">
        <v>167790</v>
      </c>
      <c r="K88" s="172" t="s">
        <v>198</v>
      </c>
      <c r="L88" s="172"/>
      <c r="M88" s="172"/>
      <c r="N88" s="170">
        <v>-667.2</v>
      </c>
    </row>
    <row r="89" spans="1:14">
      <c r="A89" s="172"/>
      <c r="B89" s="176"/>
      <c r="C89" s="176"/>
      <c r="D89" s="176"/>
      <c r="E89" s="176"/>
      <c r="F89" s="176"/>
      <c r="G89" s="176"/>
      <c r="H89" s="176"/>
      <c r="I89" s="176"/>
      <c r="J89" s="172">
        <v>8855</v>
      </c>
      <c r="K89" s="168">
        <v>0</v>
      </c>
      <c r="L89" s="168">
        <v>0</v>
      </c>
      <c r="M89" s="168">
        <v>-26.75</v>
      </c>
      <c r="N89" s="177"/>
    </row>
    <row r="90" spans="1:14">
      <c r="A90" s="168">
        <v>21094590</v>
      </c>
      <c r="B90" s="167" t="s">
        <v>317</v>
      </c>
      <c r="C90" s="168" t="s">
        <v>193</v>
      </c>
      <c r="D90" s="168">
        <v>4.53</v>
      </c>
      <c r="E90" s="168" t="s">
        <v>200</v>
      </c>
      <c r="F90" s="168">
        <v>0.88244</v>
      </c>
      <c r="G90" s="168">
        <v>0.88419999999999999</v>
      </c>
      <c r="H90" s="168">
        <v>0</v>
      </c>
      <c r="I90" s="167" t="s">
        <v>318</v>
      </c>
      <c r="J90" s="168">
        <v>0.88419999999999999</v>
      </c>
      <c r="K90" s="168" t="s">
        <v>195</v>
      </c>
      <c r="L90" s="168"/>
      <c r="M90" s="168"/>
      <c r="N90" s="168">
        <v>-901.7</v>
      </c>
    </row>
    <row r="91" spans="1:14">
      <c r="A91" s="168"/>
      <c r="B91" s="166"/>
      <c r="C91" s="166"/>
      <c r="D91" s="166"/>
      <c r="E91" s="166"/>
      <c r="F91" s="166"/>
      <c r="G91" s="166"/>
      <c r="H91" s="166"/>
      <c r="I91" s="166"/>
      <c r="J91" s="168">
        <v>8855</v>
      </c>
      <c r="K91" s="170">
        <v>0</v>
      </c>
      <c r="L91" s="170">
        <v>0</v>
      </c>
      <c r="M91" s="170">
        <v>0</v>
      </c>
      <c r="N91" s="177"/>
    </row>
    <row r="92" spans="1:14">
      <c r="A92" s="170">
        <v>21105557</v>
      </c>
      <c r="B92" s="169" t="s">
        <v>323</v>
      </c>
      <c r="C92" s="170" t="s">
        <v>196</v>
      </c>
      <c r="D92" s="170">
        <v>3.03</v>
      </c>
      <c r="E92" s="170" t="s">
        <v>194</v>
      </c>
      <c r="F92" s="170">
        <v>0.82435000000000003</v>
      </c>
      <c r="G92" s="170">
        <v>0.82220000000000004</v>
      </c>
      <c r="H92" s="170">
        <v>0</v>
      </c>
      <c r="I92" s="169" t="s">
        <v>324</v>
      </c>
      <c r="J92" s="170">
        <v>0.82220000000000004</v>
      </c>
      <c r="K92" s="172" t="s">
        <v>198</v>
      </c>
      <c r="L92" s="172"/>
      <c r="M92" s="172"/>
      <c r="N92" s="170">
        <v>-1092.6500000000001</v>
      </c>
    </row>
    <row r="93" spans="1:14">
      <c r="A93" s="172"/>
      <c r="B93" s="176"/>
      <c r="C93" s="176"/>
      <c r="D93" s="176"/>
      <c r="E93" s="176"/>
      <c r="F93" s="176"/>
      <c r="G93" s="176"/>
      <c r="H93" s="176"/>
      <c r="I93" s="176"/>
      <c r="J93" s="172">
        <v>8855</v>
      </c>
      <c r="K93" s="168">
        <v>0</v>
      </c>
      <c r="L93" s="168">
        <v>0</v>
      </c>
      <c r="M93" s="168">
        <v>0</v>
      </c>
      <c r="N93" s="177"/>
    </row>
    <row r="94" spans="1:14">
      <c r="A94" s="168">
        <v>21106841</v>
      </c>
      <c r="B94" s="167" t="s">
        <v>315</v>
      </c>
      <c r="C94" s="168" t="s">
        <v>193</v>
      </c>
      <c r="D94" s="168">
        <v>4.3499999999999996</v>
      </c>
      <c r="E94" s="168" t="s">
        <v>202</v>
      </c>
      <c r="F94" s="173">
        <v>110204</v>
      </c>
      <c r="G94" s="173">
        <v>110340</v>
      </c>
      <c r="H94" s="168">
        <v>0</v>
      </c>
      <c r="I94" s="167" t="s">
        <v>316</v>
      </c>
      <c r="J94" s="173">
        <v>110340</v>
      </c>
      <c r="K94" s="168" t="s">
        <v>198</v>
      </c>
      <c r="L94" s="168"/>
      <c r="M94" s="168"/>
      <c r="N94" s="168">
        <v>-536.16</v>
      </c>
    </row>
    <row r="95" spans="1:14">
      <c r="A95" s="168"/>
      <c r="B95" s="166"/>
      <c r="C95" s="166"/>
      <c r="D95" s="166"/>
      <c r="E95" s="166"/>
      <c r="F95" s="166"/>
      <c r="G95" s="166"/>
      <c r="H95" s="166"/>
      <c r="I95" s="166"/>
      <c r="J95" s="168">
        <v>8855</v>
      </c>
      <c r="K95" s="170">
        <v>0</v>
      </c>
      <c r="L95" s="170">
        <v>0</v>
      </c>
      <c r="M95" s="170">
        <v>0</v>
      </c>
      <c r="N95" s="177"/>
    </row>
    <row r="96" spans="1:14">
      <c r="A96" s="170">
        <v>21109309</v>
      </c>
      <c r="B96" s="169" t="s">
        <v>321</v>
      </c>
      <c r="C96" s="170" t="s">
        <v>193</v>
      </c>
      <c r="D96" s="170">
        <v>3.95</v>
      </c>
      <c r="E96" s="170" t="s">
        <v>194</v>
      </c>
      <c r="F96" s="170">
        <v>0.82221999999999995</v>
      </c>
      <c r="G96" s="170">
        <v>0.82379999999999998</v>
      </c>
      <c r="H96" s="170">
        <v>0</v>
      </c>
      <c r="I96" s="169" t="s">
        <v>322</v>
      </c>
      <c r="J96" s="170">
        <v>0.82379999999999998</v>
      </c>
      <c r="K96" s="172" t="s">
        <v>198</v>
      </c>
      <c r="L96" s="172"/>
      <c r="M96" s="172"/>
      <c r="N96" s="170">
        <v>-1048.8900000000001</v>
      </c>
    </row>
    <row r="97" spans="1:14">
      <c r="A97" s="172"/>
      <c r="B97" s="176"/>
      <c r="C97" s="176"/>
      <c r="D97" s="176"/>
      <c r="E97" s="176"/>
      <c r="F97" s="176"/>
      <c r="G97" s="176"/>
      <c r="H97" s="176"/>
      <c r="I97" s="176"/>
      <c r="J97" s="172">
        <v>8855</v>
      </c>
      <c r="K97" s="168">
        <v>0</v>
      </c>
      <c r="L97" s="168">
        <v>0</v>
      </c>
      <c r="M97" s="168">
        <v>-146.68</v>
      </c>
      <c r="N97" s="177"/>
    </row>
    <row r="98" spans="1:14">
      <c r="A98" s="168">
        <v>21091970</v>
      </c>
      <c r="B98" s="167" t="s">
        <v>313</v>
      </c>
      <c r="C98" s="168" t="s">
        <v>193</v>
      </c>
      <c r="D98" s="168">
        <v>4.37</v>
      </c>
      <c r="E98" s="168" t="s">
        <v>201</v>
      </c>
      <c r="F98" s="168">
        <v>0.93052000000000001</v>
      </c>
      <c r="G98" s="168">
        <v>0.92769999999999997</v>
      </c>
      <c r="H98" s="168">
        <v>0</v>
      </c>
      <c r="I98" s="167" t="s">
        <v>314</v>
      </c>
      <c r="J98" s="168">
        <v>0.92769999999999997</v>
      </c>
      <c r="K98" s="168" t="s">
        <v>195</v>
      </c>
      <c r="L98" s="168"/>
      <c r="M98" s="168"/>
      <c r="N98" s="168">
        <v>1232.3399999999999</v>
      </c>
    </row>
    <row r="99" spans="1:14">
      <c r="A99" s="168"/>
      <c r="B99" s="166"/>
      <c r="C99" s="166"/>
      <c r="D99" s="166"/>
      <c r="E99" s="166"/>
      <c r="F99" s="166"/>
      <c r="G99" s="166"/>
      <c r="H99" s="166"/>
      <c r="I99" s="166"/>
      <c r="J99" s="168">
        <v>8855</v>
      </c>
      <c r="K99" s="170">
        <v>0</v>
      </c>
      <c r="L99" s="170">
        <v>0</v>
      </c>
      <c r="M99" s="170">
        <v>0</v>
      </c>
      <c r="N99" s="177"/>
    </row>
    <row r="100" spans="1:14">
      <c r="A100" s="170">
        <v>21119374</v>
      </c>
      <c r="B100" s="169" t="s">
        <v>319</v>
      </c>
      <c r="C100" s="170" t="s">
        <v>193</v>
      </c>
      <c r="D100" s="170">
        <v>5.19</v>
      </c>
      <c r="E100" s="170" t="s">
        <v>194</v>
      </c>
      <c r="F100" s="170">
        <v>0.82223000000000002</v>
      </c>
      <c r="G100" s="170">
        <v>0.82340000000000002</v>
      </c>
      <c r="H100" s="170">
        <v>0</v>
      </c>
      <c r="I100" s="169" t="s">
        <v>320</v>
      </c>
      <c r="J100" s="170">
        <v>0.82340000000000002</v>
      </c>
      <c r="K100" s="172" t="s">
        <v>198</v>
      </c>
      <c r="L100" s="172"/>
      <c r="M100" s="172"/>
      <c r="N100" s="170">
        <v>-1020.88</v>
      </c>
    </row>
    <row r="101" spans="1:14">
      <c r="A101" s="172"/>
      <c r="B101" s="176"/>
      <c r="C101" s="176"/>
      <c r="D101" s="176"/>
      <c r="E101" s="176"/>
      <c r="F101" s="176"/>
      <c r="G101" s="176"/>
      <c r="H101" s="176"/>
      <c r="I101" s="176"/>
      <c r="J101" s="172">
        <v>8855</v>
      </c>
      <c r="K101" s="168">
        <v>0</v>
      </c>
      <c r="L101" s="168">
        <v>0</v>
      </c>
      <c r="M101" s="168">
        <v>0</v>
      </c>
      <c r="N101" s="177"/>
    </row>
    <row r="102" spans="1:14">
      <c r="A102" s="168">
        <v>21121141</v>
      </c>
      <c r="B102" s="167" t="s">
        <v>327</v>
      </c>
      <c r="C102" s="168" t="s">
        <v>196</v>
      </c>
      <c r="D102" s="168">
        <v>2.4500000000000002</v>
      </c>
      <c r="E102" s="168" t="s">
        <v>201</v>
      </c>
      <c r="F102" s="168">
        <v>0.92935000000000001</v>
      </c>
      <c r="G102" s="168">
        <v>0.92789999999999995</v>
      </c>
      <c r="H102" s="168">
        <v>0</v>
      </c>
      <c r="I102" s="167" t="s">
        <v>328</v>
      </c>
      <c r="J102" s="168">
        <v>0.92789999999999995</v>
      </c>
      <c r="K102" s="168" t="s">
        <v>198</v>
      </c>
      <c r="L102" s="168"/>
      <c r="M102" s="168"/>
      <c r="N102" s="168">
        <v>-355.25</v>
      </c>
    </row>
    <row r="103" spans="1:14">
      <c r="A103" s="168"/>
      <c r="B103" s="166"/>
      <c r="C103" s="166"/>
      <c r="D103" s="166"/>
      <c r="E103" s="166"/>
      <c r="F103" s="166"/>
      <c r="G103" s="166"/>
      <c r="H103" s="166"/>
      <c r="I103" s="166"/>
      <c r="J103" s="168">
        <v>8855</v>
      </c>
      <c r="K103" s="170">
        <v>0</v>
      </c>
      <c r="L103" s="170">
        <v>0</v>
      </c>
      <c r="M103" s="170">
        <v>0</v>
      </c>
      <c r="N103" s="177"/>
    </row>
    <row r="104" spans="1:14">
      <c r="A104" s="170">
        <v>21119388</v>
      </c>
      <c r="B104" s="169" t="s">
        <v>329</v>
      </c>
      <c r="C104" s="170" t="s">
        <v>196</v>
      </c>
      <c r="D104" s="170">
        <v>5.42</v>
      </c>
      <c r="E104" s="170" t="s">
        <v>199</v>
      </c>
      <c r="F104" s="171">
        <v>168172</v>
      </c>
      <c r="G104" s="171">
        <v>168070</v>
      </c>
      <c r="H104" s="170">
        <v>0</v>
      </c>
      <c r="I104" s="169" t="s">
        <v>330</v>
      </c>
      <c r="J104" s="171">
        <v>168070</v>
      </c>
      <c r="K104" s="172" t="s">
        <v>195</v>
      </c>
      <c r="L104" s="172"/>
      <c r="M104" s="172"/>
      <c r="N104" s="170">
        <v>-552.84</v>
      </c>
    </row>
    <row r="105" spans="1:14">
      <c r="A105" s="172"/>
      <c r="B105" s="176"/>
      <c r="C105" s="176"/>
      <c r="D105" s="176"/>
      <c r="E105" s="176"/>
      <c r="F105" s="176"/>
      <c r="G105" s="176"/>
      <c r="H105" s="176"/>
      <c r="I105" s="176"/>
      <c r="J105" s="172">
        <v>8855</v>
      </c>
      <c r="K105" s="168">
        <v>0</v>
      </c>
      <c r="L105" s="168">
        <v>0</v>
      </c>
      <c r="M105" s="168">
        <v>0</v>
      </c>
      <c r="N105" s="177"/>
    </row>
    <row r="106" spans="1:14">
      <c r="A106" s="168">
        <v>21121188</v>
      </c>
      <c r="B106" s="167" t="s">
        <v>331</v>
      </c>
      <c r="C106" s="168" t="s">
        <v>193</v>
      </c>
      <c r="D106" s="168">
        <v>4.41</v>
      </c>
      <c r="E106" s="168" t="s">
        <v>202</v>
      </c>
      <c r="F106" s="173">
        <v>110184</v>
      </c>
      <c r="G106" s="173">
        <v>110320</v>
      </c>
      <c r="H106" s="168">
        <v>0</v>
      </c>
      <c r="I106" s="167" t="s">
        <v>332</v>
      </c>
      <c r="J106" s="173">
        <v>110320</v>
      </c>
      <c r="K106" s="168" t="s">
        <v>198</v>
      </c>
      <c r="L106" s="168"/>
      <c r="M106" s="168"/>
      <c r="N106" s="168">
        <v>-543.65</v>
      </c>
    </row>
    <row r="107" spans="1:14">
      <c r="A107" s="168"/>
      <c r="B107" s="166"/>
      <c r="C107" s="166"/>
      <c r="D107" s="166"/>
      <c r="E107" s="166"/>
      <c r="F107" s="166"/>
      <c r="G107" s="166"/>
      <c r="H107" s="166"/>
      <c r="I107" s="166"/>
      <c r="J107" s="168">
        <v>8855</v>
      </c>
      <c r="K107" s="170">
        <v>0</v>
      </c>
      <c r="L107" s="170">
        <v>0</v>
      </c>
      <c r="M107" s="170">
        <v>0</v>
      </c>
      <c r="N107" s="177"/>
    </row>
    <row r="108" spans="1:14">
      <c r="A108" s="170">
        <v>21119402</v>
      </c>
      <c r="B108" s="169" t="s">
        <v>333</v>
      </c>
      <c r="C108" s="170" t="s">
        <v>196</v>
      </c>
      <c r="D108" s="170">
        <v>3.11</v>
      </c>
      <c r="E108" s="170" t="s">
        <v>199</v>
      </c>
      <c r="F108" s="171">
        <v>168151</v>
      </c>
      <c r="G108" s="171">
        <v>168040</v>
      </c>
      <c r="H108" s="170">
        <v>0</v>
      </c>
      <c r="I108" s="169" t="s">
        <v>334</v>
      </c>
      <c r="J108" s="171">
        <v>168040</v>
      </c>
      <c r="K108" s="172" t="s">
        <v>198</v>
      </c>
      <c r="L108" s="172"/>
      <c r="M108" s="172"/>
      <c r="N108" s="170">
        <v>-345.21</v>
      </c>
    </row>
    <row r="109" spans="1:14">
      <c r="A109" s="172"/>
      <c r="B109" s="176"/>
      <c r="C109" s="176"/>
      <c r="D109" s="176"/>
      <c r="E109" s="176"/>
      <c r="F109" s="176"/>
      <c r="G109" s="176"/>
      <c r="H109" s="176"/>
      <c r="I109" s="176"/>
      <c r="J109" s="172">
        <v>8855</v>
      </c>
      <c r="K109" s="168">
        <v>0</v>
      </c>
      <c r="L109" s="168">
        <v>0</v>
      </c>
      <c r="M109" s="168">
        <v>0</v>
      </c>
      <c r="N109" s="177"/>
    </row>
    <row r="110" spans="1:14">
      <c r="A110" s="168">
        <v>21119366</v>
      </c>
      <c r="B110" s="167" t="s">
        <v>335</v>
      </c>
      <c r="C110" s="168" t="s">
        <v>193</v>
      </c>
      <c r="D110" s="168">
        <v>8.9600000000000009</v>
      </c>
      <c r="E110" s="168" t="s">
        <v>194</v>
      </c>
      <c r="F110" s="168">
        <v>0.82237000000000005</v>
      </c>
      <c r="G110" s="168">
        <v>0.82379999999999998</v>
      </c>
      <c r="H110" s="168">
        <v>0</v>
      </c>
      <c r="I110" s="167" t="s">
        <v>336</v>
      </c>
      <c r="J110" s="168">
        <v>0.82379999999999998</v>
      </c>
      <c r="K110" s="168" t="s">
        <v>195</v>
      </c>
      <c r="L110" s="168"/>
      <c r="M110" s="168"/>
      <c r="N110" s="168">
        <v>-2152.42</v>
      </c>
    </row>
    <row r="111" spans="1:14">
      <c r="A111" s="168"/>
      <c r="B111" s="166"/>
      <c r="C111" s="166"/>
      <c r="D111" s="166"/>
      <c r="E111" s="166"/>
      <c r="F111" s="166"/>
      <c r="G111" s="166"/>
      <c r="H111" s="166"/>
      <c r="I111" s="166"/>
      <c r="J111" s="168">
        <v>8855</v>
      </c>
      <c r="K111" s="170">
        <v>0</v>
      </c>
      <c r="L111" s="170">
        <v>0</v>
      </c>
      <c r="M111" s="170">
        <v>-6.06</v>
      </c>
      <c r="N111" s="177"/>
    </row>
    <row r="112" spans="1:14">
      <c r="A112" s="170">
        <v>21119914</v>
      </c>
      <c r="B112" s="169" t="s">
        <v>337</v>
      </c>
      <c r="C112" s="170" t="s">
        <v>193</v>
      </c>
      <c r="D112" s="170">
        <v>3.08</v>
      </c>
      <c r="E112" s="170" t="s">
        <v>200</v>
      </c>
      <c r="F112" s="170">
        <v>0.88021000000000005</v>
      </c>
      <c r="G112" s="170">
        <v>0.88190000000000002</v>
      </c>
      <c r="H112" s="170">
        <v>0</v>
      </c>
      <c r="I112" s="169" t="s">
        <v>338</v>
      </c>
      <c r="J112" s="170">
        <v>0.88190000000000002</v>
      </c>
      <c r="K112" s="172" t="s">
        <v>198</v>
      </c>
      <c r="L112" s="172"/>
      <c r="M112" s="172"/>
      <c r="N112" s="170">
        <v>-590.23</v>
      </c>
    </row>
    <row r="113" spans="1:14">
      <c r="A113" s="172"/>
      <c r="B113" s="176"/>
      <c r="C113" s="176"/>
      <c r="D113" s="176"/>
      <c r="E113" s="176"/>
      <c r="F113" s="176"/>
      <c r="G113" s="176"/>
      <c r="H113" s="176"/>
      <c r="I113" s="176"/>
      <c r="J113" s="172">
        <v>8855</v>
      </c>
      <c r="K113" s="168">
        <v>0</v>
      </c>
      <c r="L113" s="168">
        <v>0</v>
      </c>
      <c r="M113" s="168">
        <v>0</v>
      </c>
      <c r="N113" s="177"/>
    </row>
    <row r="114" spans="1:14">
      <c r="A114" s="168">
        <v>21127635</v>
      </c>
      <c r="B114" s="167" t="s">
        <v>339</v>
      </c>
      <c r="C114" s="168" t="s">
        <v>196</v>
      </c>
      <c r="D114" s="168">
        <v>3.58</v>
      </c>
      <c r="E114" s="168" t="s">
        <v>194</v>
      </c>
      <c r="F114" s="168">
        <v>0.82435000000000003</v>
      </c>
      <c r="G114" s="168">
        <v>0.82279999999999998</v>
      </c>
      <c r="H114" s="168">
        <v>0</v>
      </c>
      <c r="I114" s="167" t="s">
        <v>340</v>
      </c>
      <c r="J114" s="168">
        <v>0.82279999999999998</v>
      </c>
      <c r="K114" s="168" t="s">
        <v>198</v>
      </c>
      <c r="L114" s="168"/>
      <c r="M114" s="168"/>
      <c r="N114" s="168">
        <v>-931.96</v>
      </c>
    </row>
    <row r="115" spans="1:14">
      <c r="A115" s="168"/>
      <c r="B115" s="166"/>
      <c r="C115" s="166"/>
      <c r="D115" s="166"/>
      <c r="E115" s="166"/>
      <c r="F115" s="166"/>
      <c r="G115" s="166"/>
      <c r="H115" s="166"/>
      <c r="I115" s="166"/>
      <c r="J115" s="168">
        <v>8855</v>
      </c>
      <c r="K115" s="170">
        <v>0</v>
      </c>
      <c r="L115" s="170">
        <v>0</v>
      </c>
      <c r="M115" s="170">
        <v>-13.37</v>
      </c>
      <c r="N115" s="177"/>
    </row>
    <row r="116" spans="1:14">
      <c r="A116" s="170">
        <v>21124515</v>
      </c>
      <c r="B116" s="169" t="s">
        <v>341</v>
      </c>
      <c r="C116" s="170" t="s">
        <v>196</v>
      </c>
      <c r="D116" s="170">
        <v>2.21</v>
      </c>
      <c r="E116" s="170" t="s">
        <v>202</v>
      </c>
      <c r="F116" s="171">
        <v>110491</v>
      </c>
      <c r="G116" s="171">
        <v>110260</v>
      </c>
      <c r="H116" s="170">
        <v>0</v>
      </c>
      <c r="I116" s="169" t="s">
        <v>342</v>
      </c>
      <c r="J116" s="171">
        <v>110260</v>
      </c>
      <c r="K116" s="172" t="s">
        <v>198</v>
      </c>
      <c r="L116" s="172"/>
      <c r="M116" s="172"/>
      <c r="N116" s="170">
        <v>-463.01</v>
      </c>
    </row>
    <row r="117" spans="1:14">
      <c r="A117" s="172"/>
      <c r="B117" s="176"/>
      <c r="C117" s="176"/>
      <c r="D117" s="176"/>
      <c r="E117" s="176"/>
      <c r="F117" s="176"/>
      <c r="G117" s="176"/>
      <c r="H117" s="176"/>
      <c r="I117" s="176"/>
      <c r="J117" s="172">
        <v>8855</v>
      </c>
      <c r="K117" s="168">
        <v>0</v>
      </c>
      <c r="L117" s="168">
        <v>0</v>
      </c>
      <c r="M117" s="168">
        <v>0</v>
      </c>
      <c r="N117" s="177"/>
    </row>
    <row r="118" spans="1:14">
      <c r="A118" s="168">
        <v>21129706</v>
      </c>
      <c r="B118" s="167" t="s">
        <v>343</v>
      </c>
      <c r="C118" s="168" t="s">
        <v>193</v>
      </c>
      <c r="D118" s="168">
        <v>3.27</v>
      </c>
      <c r="E118" s="168" t="s">
        <v>194</v>
      </c>
      <c r="F118" s="168">
        <v>0.82223999999999997</v>
      </c>
      <c r="G118" s="168">
        <v>0.82389999999999997</v>
      </c>
      <c r="H118" s="168">
        <v>0</v>
      </c>
      <c r="I118" s="167" t="s">
        <v>344</v>
      </c>
      <c r="J118" s="168">
        <v>0.82389999999999997</v>
      </c>
      <c r="K118" s="168" t="s">
        <v>198</v>
      </c>
      <c r="L118" s="168"/>
      <c r="M118" s="168"/>
      <c r="N118" s="168">
        <v>-914.45</v>
      </c>
    </row>
    <row r="119" spans="1:14">
      <c r="A119" s="168"/>
      <c r="B119" s="166"/>
      <c r="C119" s="166"/>
      <c r="D119" s="166"/>
      <c r="E119" s="166"/>
      <c r="F119" s="166"/>
      <c r="G119" s="166"/>
      <c r="H119" s="166"/>
      <c r="I119" s="166"/>
      <c r="J119" s="168">
        <v>8855</v>
      </c>
      <c r="K119" s="184"/>
      <c r="L119" s="184"/>
      <c r="M119" s="184"/>
      <c r="N119" s="177"/>
    </row>
    <row r="120" spans="1:14">
      <c r="A120" s="170"/>
      <c r="B120" s="174"/>
      <c r="C120" s="174"/>
      <c r="D120" s="174"/>
      <c r="E120" s="174"/>
      <c r="F120" s="174"/>
      <c r="G120" s="174"/>
      <c r="H120" s="174"/>
      <c r="I120" s="174"/>
      <c r="J120" s="174"/>
      <c r="N120" s="184"/>
    </row>
    <row r="121" spans="1:14">
      <c r="A121" s="183"/>
      <c r="B121" s="183"/>
      <c r="C121" s="183"/>
      <c r="D121" s="183"/>
      <c r="E121" s="183"/>
      <c r="F121" s="183"/>
      <c r="G121" s="183"/>
      <c r="H121" s="183"/>
      <c r="I121" s="183"/>
      <c r="J121" s="183"/>
      <c r="N121" s="175"/>
    </row>
  </sheetData>
  <mergeCells count="1">
    <mergeCell ref="A121:J121"/>
  </mergeCells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>
  <dimension ref="A1:F11"/>
  <sheetViews>
    <sheetView workbookViewId="0">
      <selection activeCell="D5" sqref="D5"/>
    </sheetView>
  </sheetViews>
  <sheetFormatPr defaultRowHeight="12.75"/>
  <cols>
    <col min="1" max="1" width="12.85546875" customWidth="1"/>
    <col min="2" max="2" width="10" customWidth="1"/>
    <col min="3" max="3" width="13.85546875" customWidth="1"/>
    <col min="4" max="4" width="11.140625" customWidth="1"/>
    <col min="5" max="5" width="17.42578125" customWidth="1"/>
    <col min="6" max="6" width="14.28515625" customWidth="1"/>
    <col min="7" max="7" width="12.7109375" customWidth="1"/>
    <col min="8" max="8" width="7.140625" customWidth="1"/>
    <col min="9" max="10" width="12.7109375" customWidth="1"/>
    <col min="11" max="11" width="12.28515625" bestFit="1" customWidth="1"/>
    <col min="12" max="12" width="16.28515625" bestFit="1" customWidth="1"/>
    <col min="13" max="13" width="12.7109375" customWidth="1"/>
  </cols>
  <sheetData>
    <row r="1" spans="1:6">
      <c r="A1" s="162" t="s">
        <v>209</v>
      </c>
      <c r="B1" t="s">
        <v>285</v>
      </c>
    </row>
    <row r="3" spans="1:6">
      <c r="B3" s="162" t="s">
        <v>214</v>
      </c>
    </row>
    <row r="4" spans="1:6">
      <c r="A4" s="162" t="s">
        <v>287</v>
      </c>
      <c r="B4" t="s">
        <v>283</v>
      </c>
      <c r="C4" t="s">
        <v>284</v>
      </c>
      <c r="D4" t="s">
        <v>184</v>
      </c>
      <c r="E4" t="s">
        <v>295</v>
      </c>
      <c r="F4" t="s">
        <v>296</v>
      </c>
    </row>
    <row r="5" spans="1:6">
      <c r="A5" s="163" t="s">
        <v>201</v>
      </c>
      <c r="B5" s="164">
        <v>5</v>
      </c>
      <c r="C5" s="165">
        <v>-800.86</v>
      </c>
      <c r="D5" s="165">
        <v>-160.172</v>
      </c>
      <c r="E5" s="165">
        <v>293.8239145644888</v>
      </c>
      <c r="F5" s="165">
        <v>86332.492770000012</v>
      </c>
    </row>
    <row r="6" spans="1:6">
      <c r="A6" s="163" t="s">
        <v>194</v>
      </c>
      <c r="B6" s="164">
        <v>9</v>
      </c>
      <c r="C6" s="165">
        <v>-7045.98</v>
      </c>
      <c r="D6" s="165">
        <v>-782.88666666666666</v>
      </c>
      <c r="E6" s="165">
        <v>546.01543801434775</v>
      </c>
      <c r="F6" s="165">
        <v>298132.85855</v>
      </c>
    </row>
    <row r="7" spans="1:6">
      <c r="A7" s="163" t="s">
        <v>197</v>
      </c>
      <c r="B7" s="164">
        <v>7</v>
      </c>
      <c r="C7" s="165">
        <v>-3048.37</v>
      </c>
      <c r="D7" s="165">
        <v>-435.48142857142858</v>
      </c>
      <c r="E7" s="165">
        <v>260.01947282390034</v>
      </c>
      <c r="F7" s="165">
        <v>67610.126247619046</v>
      </c>
    </row>
    <row r="8" spans="1:6">
      <c r="A8" s="163" t="s">
        <v>199</v>
      </c>
      <c r="B8" s="164">
        <v>7</v>
      </c>
      <c r="C8" s="165">
        <v>-939.97999999999979</v>
      </c>
      <c r="D8" s="165">
        <v>-134.28285714285713</v>
      </c>
      <c r="E8" s="165">
        <v>660.21493055202075</v>
      </c>
      <c r="F8" s="165">
        <v>435883.75452380959</v>
      </c>
    </row>
    <row r="9" spans="1:6">
      <c r="A9" s="163" t="s">
        <v>202</v>
      </c>
      <c r="B9" s="164">
        <v>9</v>
      </c>
      <c r="C9" s="165">
        <v>-5461.8099999999995</v>
      </c>
      <c r="D9" s="165">
        <v>-606.86777777777775</v>
      </c>
      <c r="E9" s="165">
        <v>128.2807402513896</v>
      </c>
      <c r="F9" s="165">
        <v>16455.948319444491</v>
      </c>
    </row>
    <row r="10" spans="1:6">
      <c r="A10" s="163" t="s">
        <v>200</v>
      </c>
      <c r="B10" s="164">
        <v>4</v>
      </c>
      <c r="C10" s="165">
        <v>-2925.6</v>
      </c>
      <c r="D10" s="165">
        <v>-731.4</v>
      </c>
      <c r="E10" s="165">
        <v>424.71501653069271</v>
      </c>
      <c r="F10" s="165">
        <v>180382.84526666658</v>
      </c>
    </row>
    <row r="11" spans="1:6">
      <c r="A11" s="163" t="s">
        <v>213</v>
      </c>
      <c r="B11" s="164">
        <v>41</v>
      </c>
      <c r="C11" s="165">
        <v>-20222.599999999995</v>
      </c>
      <c r="D11" s="165">
        <v>-493.23414634146332</v>
      </c>
      <c r="E11" s="165">
        <v>474.40137547216085</v>
      </c>
      <c r="F11" s="165">
        <v>225056.66504987812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>
  <sheetPr codeName="Plan1"/>
  <dimension ref="A1:AK64"/>
  <sheetViews>
    <sheetView workbookViewId="0">
      <pane xSplit="10" ySplit="1" topLeftCell="K44" activePane="bottomRight" state="frozen"/>
      <selection pane="topRight" activeCell="K1" sqref="K1"/>
      <selection pane="bottomLeft" activeCell="A2" sqref="A2"/>
      <selection pane="bottomRight" activeCell="A60" sqref="A60"/>
    </sheetView>
  </sheetViews>
  <sheetFormatPr defaultColWidth="11.5703125" defaultRowHeight="11.25"/>
  <cols>
    <col min="1" max="1" width="4.7109375" style="7" bestFit="1" customWidth="1"/>
    <col min="2" max="2" width="4.28515625" style="7" bestFit="1" customWidth="1"/>
    <col min="3" max="3" width="7.42578125" style="7" bestFit="1" customWidth="1"/>
    <col min="4" max="4" width="4" style="7" bestFit="1" customWidth="1"/>
    <col min="5" max="5" width="7.28515625" style="7" bestFit="1" customWidth="1"/>
    <col min="6" max="6" width="6.85546875" style="7" bestFit="1" customWidth="1"/>
    <col min="7" max="7" width="8.5703125" style="7" bestFit="1" customWidth="1"/>
    <col min="8" max="8" width="8.85546875" style="60" bestFit="1" customWidth="1"/>
    <col min="9" max="9" width="8.7109375" style="25" bestFit="1" customWidth="1"/>
    <col min="10" max="10" width="7" style="7" bestFit="1" customWidth="1"/>
    <col min="11" max="11" width="10.5703125" style="8" hidden="1" customWidth="1"/>
    <col min="12" max="12" width="10.42578125" style="7" hidden="1" customWidth="1"/>
    <col min="13" max="13" width="19" style="9" hidden="1" customWidth="1"/>
    <col min="14" max="14" width="25.28515625" style="7" hidden="1" customWidth="1"/>
    <col min="15" max="15" width="17.85546875" style="8" hidden="1" customWidth="1"/>
    <col min="16" max="16" width="13.7109375" style="8" hidden="1" customWidth="1"/>
    <col min="17" max="17" width="15.5703125" style="7" hidden="1" customWidth="1"/>
    <col min="18" max="18" width="7.7109375" style="7" hidden="1" customWidth="1"/>
    <col min="19" max="19" width="12.28515625" style="7" hidden="1" customWidth="1"/>
    <col min="20" max="20" width="15" style="7" hidden="1" customWidth="1"/>
    <col min="21" max="21" width="12.5703125" style="7" customWidth="1"/>
    <col min="22" max="22" width="10.42578125" style="7" hidden="1" customWidth="1"/>
    <col min="23" max="23" width="12.42578125" style="7" hidden="1" customWidth="1"/>
    <col min="24" max="25" width="10.42578125" style="7" hidden="1" customWidth="1"/>
    <col min="26" max="27" width="10.7109375" style="7" bestFit="1" customWidth="1"/>
    <col min="28" max="28" width="11.140625" style="7" hidden="1" customWidth="1"/>
    <col min="29" max="29" width="8.5703125" style="7" hidden="1" customWidth="1"/>
    <col min="30" max="30" width="10.85546875" style="25" hidden="1" customWidth="1"/>
    <col min="31" max="31" width="11.7109375" style="7" hidden="1" customWidth="1"/>
    <col min="32" max="33" width="11.5703125" style="7" hidden="1" customWidth="1"/>
    <col min="34" max="34" width="11.7109375" style="7" bestFit="1" customWidth="1"/>
    <col min="35" max="36" width="10" style="7" bestFit="1" customWidth="1"/>
    <col min="37" max="37" width="8" style="7" bestFit="1" customWidth="1"/>
    <col min="38" max="16384" width="11.5703125" style="7"/>
  </cols>
  <sheetData>
    <row r="1" spans="1:37" s="10" customFormat="1">
      <c r="A1" s="10" t="s">
        <v>17</v>
      </c>
      <c r="B1" s="10" t="s">
        <v>49</v>
      </c>
      <c r="C1" s="10" t="s">
        <v>0</v>
      </c>
      <c r="D1" s="10" t="s">
        <v>46</v>
      </c>
      <c r="E1" s="10" t="s">
        <v>16</v>
      </c>
      <c r="F1" s="10" t="s">
        <v>1</v>
      </c>
      <c r="G1" s="10" t="s">
        <v>2</v>
      </c>
      <c r="H1" s="77" t="s">
        <v>129</v>
      </c>
      <c r="I1" s="36" t="s">
        <v>128</v>
      </c>
      <c r="J1" s="10" t="s">
        <v>3</v>
      </c>
      <c r="K1" s="10" t="s">
        <v>39</v>
      </c>
      <c r="L1" s="10" t="s">
        <v>40</v>
      </c>
      <c r="M1" s="10" t="s">
        <v>21</v>
      </c>
      <c r="N1" s="10" t="s">
        <v>33</v>
      </c>
      <c r="O1" s="10" t="s">
        <v>34</v>
      </c>
      <c r="P1" s="11" t="s">
        <v>35</v>
      </c>
      <c r="Q1" s="10" t="s">
        <v>36</v>
      </c>
      <c r="R1" s="10" t="s">
        <v>37</v>
      </c>
      <c r="S1" s="10" t="s">
        <v>148</v>
      </c>
      <c r="T1" s="10" t="s">
        <v>127</v>
      </c>
      <c r="U1" s="12" t="s">
        <v>9</v>
      </c>
      <c r="V1" s="10" t="s">
        <v>4</v>
      </c>
      <c r="W1" s="12" t="s">
        <v>38</v>
      </c>
      <c r="X1" s="10" t="s">
        <v>32</v>
      </c>
      <c r="Y1" s="12" t="s">
        <v>44</v>
      </c>
      <c r="Z1" s="12" t="s">
        <v>5</v>
      </c>
      <c r="AA1" s="10" t="s">
        <v>101</v>
      </c>
      <c r="AB1" s="10" t="s">
        <v>41</v>
      </c>
      <c r="AC1" s="10" t="s">
        <v>18</v>
      </c>
      <c r="AD1" s="10" t="s">
        <v>22</v>
      </c>
      <c r="AE1" s="10" t="s">
        <v>19</v>
      </c>
      <c r="AF1" s="10" t="s">
        <v>20</v>
      </c>
      <c r="AG1" s="36" t="s">
        <v>68</v>
      </c>
      <c r="AH1" s="10" t="s">
        <v>47</v>
      </c>
      <c r="AI1" s="10" t="s">
        <v>53</v>
      </c>
      <c r="AJ1" s="10" t="s">
        <v>117</v>
      </c>
      <c r="AK1" s="10" t="s">
        <v>126</v>
      </c>
    </row>
    <row r="2" spans="1:37">
      <c r="A2" s="13">
        <v>1</v>
      </c>
      <c r="B2" s="85"/>
      <c r="C2" s="85" t="s">
        <v>143</v>
      </c>
      <c r="D2" s="85" t="s">
        <v>24</v>
      </c>
      <c r="E2" s="86">
        <v>41143</v>
      </c>
      <c r="F2" s="85">
        <v>400</v>
      </c>
      <c r="G2" s="87">
        <v>0.5</v>
      </c>
      <c r="H2" s="96"/>
      <c r="I2" s="97"/>
      <c r="J2" s="85" t="s">
        <v>6</v>
      </c>
      <c r="K2" s="86">
        <f>WORKDAY(NOTAS_80[[#This Row],[DATA]],1,0)</f>
        <v>41144</v>
      </c>
      <c r="L2" s="88">
        <f>EOMONTH(NOTAS_80[[#This Row],[DATA DE LIQUIDAÇÃO]],0)</f>
        <v>41152</v>
      </c>
      <c r="M2" s="85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3</v>
      </c>
      <c r="N2" s="87">
        <f>[QTDE]*[PREÇO]</f>
        <v>200</v>
      </c>
      <c r="O2" s="87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-200</v>
      </c>
      <c r="P2" s="87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0.05</v>
      </c>
      <c r="Q2" s="87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7.0000000000000007E-2</v>
      </c>
      <c r="R2" s="87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0.13</v>
      </c>
      <c r="S2" s="87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4</v>
      </c>
      <c r="T2" s="87">
        <f>TRUNC([CORR BOV] * 20% * IF([PARCIAL] &gt; 0, [QTDE] / [PARCIAL], 1),2)</f>
        <v>0.8</v>
      </c>
      <c r="U2" s="87">
        <f>SUMPRODUCT(N([DATA]=NOTAS_80[[#This Row],[DATA]]),N([ID]&lt;=NOTAS_80[[#This Row],[ID]]), [CORR])</f>
        <v>0.8</v>
      </c>
      <c r="V2" s="87">
        <f>TRUNC([CORRETAGEM]*SETUP!$F$3,2)</f>
        <v>0.01</v>
      </c>
      <c r="W2" s="87">
        <f>ROUND([CORRETAGEM]*SETUP!$G$3,2)</f>
        <v>0.03</v>
      </c>
      <c r="X2" s="87">
        <f>[VALOR LÍQUIDO DAS OPERAÇÕES]-[TAXA DE LIQUIDAÇÃO]-[EMOLUMENTOS]-[TAXA DE REGISTRO]-[CORRETAGEM]-[ISS]-IF(['[D/N']]="D",    0,    [OUTRAS BOVESPA]) - [AJUSTE]</f>
        <v>-201.09</v>
      </c>
      <c r="Y2" s="87">
        <f>IF(AND(['[D/N']]="D",    [T]="CV",    [LÍQUIDO BASE] &gt; 0),    TRUNC([LÍQUIDO BASE]*0.01, 2),    0)</f>
        <v>0</v>
      </c>
      <c r="Z2" s="15">
        <f>IF([PREÇO] &gt; 0,    [LÍQUIDO BASE]-SUMPRODUCT(N([DATA]=NOTAS_80[[#This Row],[DATA]]),    [IRRF FONTE]),    0)</f>
        <v>-201.09</v>
      </c>
      <c r="AA2" s="89">
        <f>[LÍQUIDO]-SUMPRODUCT(N([DATA]=NOTAS_80[[#This Row],[DATA]]),N([ID]=(NOTAS_80[[#This Row],[ID]]-1)),[LÍQUIDO])</f>
        <v>-201.09</v>
      </c>
      <c r="AB2" s="87">
        <f>IF([T] = "VC", ABS([VALOR OP]) / [QTDE], [VALOR OP]/[QTDE])</f>
        <v>-0.50272499999999998</v>
      </c>
      <c r="AC2" s="87">
        <f>TRUNC(IF(OR([T]="CV",[T]="VV"),     N2*SETUP!$H$3,     0),2)</f>
        <v>0</v>
      </c>
      <c r="AD2" s="85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400</v>
      </c>
      <c r="AE2" s="9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0.50272499999999998</v>
      </c>
      <c r="AF2" s="9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2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2" s="87">
        <f>IF([LUCRO TMP] &lt;&gt; 0, [LUCRO TMP] - SUMPRODUCT(N([ATIVO]=NOTAS_80[[#This Row],[ATIVO]]),N(['[D/N']]="N"),N([ID]&lt;NOTAS_80[[#This Row],[ID]]),N([PAR]=NOTAS_80[[#This Row],[PAR]]), [LUCRO TMP]), 0)</f>
        <v>0</v>
      </c>
      <c r="AI2" s="87">
        <f>IF([U] = "U", SUMPRODUCT(N([ID]&lt;=NOTAS_80[[#This Row],[ID]]),N([DATA BASE]=NOTAS_80[[#This Row],[DATA BASE]]), N(['[D/N']] = "N"),    [LUCRO P/ OP]), 0)</f>
        <v>0</v>
      </c>
      <c r="AJ2" s="87">
        <f>IF([U] = "U", SUMPRODUCT(N([DATA BASE]=NOTAS_80[[#This Row],[DATA BASE]]), N(['[D/N']] = "D"),    [LUCRO P/ OP]), 0)</f>
        <v>0</v>
      </c>
      <c r="AK2" s="87">
        <f>IF([U] = "U", SUMPRODUCT(N([DATA BASE]=NOTAS_80[[#This Row],[DATA BASE]]), N(['[D/N']] = "D"),    [IRRF FONTE]), 0)</f>
        <v>0</v>
      </c>
    </row>
    <row r="3" spans="1:37">
      <c r="A3" s="13">
        <v>2</v>
      </c>
      <c r="B3" s="85"/>
      <c r="C3" s="85" t="s">
        <v>143</v>
      </c>
      <c r="D3" s="85" t="s">
        <v>25</v>
      </c>
      <c r="E3" s="86">
        <v>41144</v>
      </c>
      <c r="F3" s="85">
        <v>400</v>
      </c>
      <c r="G3" s="87">
        <v>0.35</v>
      </c>
      <c r="H3" s="96"/>
      <c r="I3" s="97"/>
      <c r="J3" s="85" t="s">
        <v>6</v>
      </c>
      <c r="K3" s="86">
        <f>WORKDAY(NOTAS_80[[#This Row],[DATA]],1,0)</f>
        <v>41145</v>
      </c>
      <c r="L3" s="88">
        <f>EOMONTH(NOTAS_80[[#This Row],[DATA DE LIQUIDAÇÃO]],0)</f>
        <v>41152</v>
      </c>
      <c r="M3" s="85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3</v>
      </c>
      <c r="N3" s="87">
        <f>[QTDE]*[PREÇO]</f>
        <v>140</v>
      </c>
      <c r="O3" s="87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140</v>
      </c>
      <c r="P3" s="87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0.03</v>
      </c>
      <c r="Q3" s="87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0.05</v>
      </c>
      <c r="R3" s="87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0.09</v>
      </c>
      <c r="S3" s="87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2.8000000000000003</v>
      </c>
      <c r="T3" s="87">
        <f>TRUNC([CORR BOV] * 20% * IF([PARCIAL] &gt; 0, [QTDE] / [PARCIAL], 1),2)</f>
        <v>0.56000000000000005</v>
      </c>
      <c r="U3" s="87">
        <f>SUMPRODUCT(N([DATA]=NOTAS_80[[#This Row],[DATA]]),N([ID]&lt;=NOTAS_80[[#This Row],[ID]]), [CORR])</f>
        <v>0.56000000000000005</v>
      </c>
      <c r="V3" s="87">
        <f>TRUNC([CORRETAGEM]*SETUP!$F$3,2)</f>
        <v>0.01</v>
      </c>
      <c r="W3" s="87">
        <f>ROUND([CORRETAGEM]*SETUP!$G$3,2)</f>
        <v>0.02</v>
      </c>
      <c r="X3" s="87">
        <f>[VALOR LÍQUIDO DAS OPERAÇÕES]-[TAXA DE LIQUIDAÇÃO]-[EMOLUMENTOS]-[TAXA DE REGISTRO]-[CORRETAGEM]-[ISS]-IF(['[D/N']]="D",    0,    [OUTRAS BOVESPA]) - [AJUSTE]</f>
        <v>139.23999999999998</v>
      </c>
      <c r="Y3" s="87">
        <f>IF(AND(['[D/N']]="D",    [T]="CV",    [LÍQUIDO BASE] &gt; 0),    TRUNC([LÍQUIDO BASE]*0.01, 2),    0)</f>
        <v>0</v>
      </c>
      <c r="Z3" s="15">
        <f>IF([PREÇO] &gt; 0,    [LÍQUIDO BASE]-SUMPRODUCT(N([DATA]=NOTAS_80[[#This Row],[DATA]]),    [IRRF FONTE]),    0)</f>
        <v>139.23999999999998</v>
      </c>
      <c r="AA3" s="89">
        <f>[LÍQUIDO]-SUMPRODUCT(N([DATA]=NOTAS_80[[#This Row],[DATA]]),N([ID]=(NOTAS_80[[#This Row],[ID]]-1)),[LÍQUIDO])</f>
        <v>139.23999999999998</v>
      </c>
      <c r="AB3" s="87">
        <f>IF([T] = "VC", ABS([VALOR OP]) / [QTDE], [VALOR OP]/[QTDE])</f>
        <v>0.34809999999999997</v>
      </c>
      <c r="AC3" s="87">
        <f>TRUNC(IF(OR([T]="CV",[T]="VV"),     N3*SETUP!$H$3,     0),2)</f>
        <v>0</v>
      </c>
      <c r="AD3" s="85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3" s="9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0.50272499999999998</v>
      </c>
      <c r="AF3" s="9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0.34809999999999997</v>
      </c>
      <c r="AG3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-61.850000000000009</v>
      </c>
      <c r="AH3" s="87">
        <f>IF([LUCRO TMP] &lt;&gt; 0, [LUCRO TMP] - SUMPRODUCT(N([ATIVO]=NOTAS_80[[#This Row],[ATIVO]]),N(['[D/N']]="N"),N([ID]&lt;NOTAS_80[[#This Row],[ID]]),N([PAR]=NOTAS_80[[#This Row],[PAR]]), [LUCRO TMP]), 0)</f>
        <v>-61.850000000000009</v>
      </c>
      <c r="AI3" s="87">
        <f>IF([U] = "U", SUMPRODUCT(N([ID]&lt;=NOTAS_80[[#This Row],[ID]]),N([DATA BASE]=NOTAS_80[[#This Row],[DATA BASE]]), N(['[D/N']] = "N"),    [LUCRO P/ OP]), 0)</f>
        <v>0</v>
      </c>
      <c r="AJ3" s="87">
        <f>IF([U] = "U", SUMPRODUCT(N([DATA BASE]=NOTAS_80[[#This Row],[DATA BASE]]), N(['[D/N']] = "D"),    [LUCRO P/ OP]), 0)</f>
        <v>0</v>
      </c>
      <c r="AK3" s="87">
        <f>IF([U] = "U", SUMPRODUCT(N([DATA BASE]=NOTAS_80[[#This Row],[DATA BASE]]), N(['[D/N']] = "D"),    [IRRF FONTE]), 0)</f>
        <v>0</v>
      </c>
    </row>
    <row r="4" spans="1:37">
      <c r="A4" s="13">
        <v>3</v>
      </c>
      <c r="B4" s="107"/>
      <c r="C4" s="107" t="s">
        <v>143</v>
      </c>
      <c r="D4" s="85" t="s">
        <v>24</v>
      </c>
      <c r="E4" s="86">
        <v>41149</v>
      </c>
      <c r="F4" s="85">
        <v>300</v>
      </c>
      <c r="G4" s="87">
        <v>0.4</v>
      </c>
      <c r="H4" s="96"/>
      <c r="I4" s="97"/>
      <c r="J4" s="85" t="s">
        <v>6</v>
      </c>
      <c r="K4" s="108">
        <f>WORKDAY(NOTAS_80[[#This Row],[DATA]],1,0)</f>
        <v>41150</v>
      </c>
      <c r="L4" s="109">
        <f>EOMONTH(NOTAS_80[[#This Row],[DATA DE LIQUIDAÇÃO]],0)</f>
        <v>41152</v>
      </c>
      <c r="M4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4</v>
      </c>
      <c r="N4" s="106">
        <f>[QTDE]*[PREÇO]</f>
        <v>120</v>
      </c>
      <c r="O4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-120</v>
      </c>
      <c r="P4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0.03</v>
      </c>
      <c r="Q4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0.04</v>
      </c>
      <c r="R4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0.08</v>
      </c>
      <c r="S4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2.7</v>
      </c>
      <c r="T4" s="106">
        <f>TRUNC([CORR BOV] * 20% * IF([PARCIAL] &gt; 0, [QTDE] / [PARCIAL], 1),2)</f>
        <v>0.54</v>
      </c>
      <c r="U4" s="106">
        <f>SUMPRODUCT(N([DATA]=NOTAS_80[[#This Row],[DATA]]),N([ID]&lt;=NOTAS_80[[#This Row],[ID]]), [CORR])</f>
        <v>0.54</v>
      </c>
      <c r="V4" s="106">
        <f>TRUNC([CORRETAGEM]*SETUP!$F$3,2)</f>
        <v>0.01</v>
      </c>
      <c r="W4" s="106">
        <f>ROUND([CORRETAGEM]*SETUP!$G$3,2)</f>
        <v>0.02</v>
      </c>
      <c r="X4" s="106">
        <f>[VALOR LÍQUIDO DAS OPERAÇÕES]-[TAXA DE LIQUIDAÇÃO]-[EMOLUMENTOS]-[TAXA DE REGISTRO]-[CORRETAGEM]-[ISS]-IF(['[D/N']]="D",    0,    [OUTRAS BOVESPA]) - [AJUSTE]</f>
        <v>-120.72000000000001</v>
      </c>
      <c r="Y4" s="106">
        <f>IF(AND(['[D/N']]="D",    [T]="CV",    [LÍQUIDO BASE] &gt; 0),    TRUNC([LÍQUIDO BASE]*0.01, 2),    0)</f>
        <v>0</v>
      </c>
      <c r="Z4" s="23">
        <f>IF([PREÇO] &gt; 0,    [LÍQUIDO BASE]-SUMPRODUCT(N([DATA]=NOTAS_80[[#This Row],[DATA]]),    [IRRF FONTE]),    0)</f>
        <v>-120.72000000000001</v>
      </c>
      <c r="AA4" s="110">
        <f>[LÍQUIDO]-SUMPRODUCT(N([DATA]=NOTAS_80[[#This Row],[DATA]]),N([ID]=(NOTAS_80[[#This Row],[ID]]-1)),[LÍQUIDO])</f>
        <v>-120.72000000000001</v>
      </c>
      <c r="AB4" s="106">
        <f>IF([T] = "VC", ABS([VALOR OP]) / [QTDE], [VALOR OP]/[QTDE])</f>
        <v>-0.40240000000000004</v>
      </c>
      <c r="AC4" s="106">
        <f>TRUNC(IF(OR([T]="CV",[T]="VV"),     N4*SETUP!$H$3,     0),2)</f>
        <v>0</v>
      </c>
      <c r="AD4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300</v>
      </c>
      <c r="AE4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0.40240000000000004</v>
      </c>
      <c r="AF4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4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4" s="106">
        <f>IF([LUCRO TMP] &lt;&gt; 0, [LUCRO TMP] - SUMPRODUCT(N([ATIVO]=NOTAS_80[[#This Row],[ATIVO]]),N(['[D/N']]="N"),N([ID]&lt;NOTAS_80[[#This Row],[ID]]),N([PAR]=NOTAS_80[[#This Row],[PAR]]), [LUCRO TMP]), 0)</f>
        <v>0</v>
      </c>
      <c r="AI4" s="106">
        <f>IF([U] = "U", SUMPRODUCT(N([ID]&lt;=NOTAS_80[[#This Row],[ID]]),N([DATA BASE]=NOTAS_80[[#This Row],[DATA BASE]]), N(['[D/N']] = "N"),    [LUCRO P/ OP]), 0)</f>
        <v>0</v>
      </c>
      <c r="AJ4" s="106">
        <f>IF([U] = "U", SUMPRODUCT(N([DATA BASE]=NOTAS_80[[#This Row],[DATA BASE]]), N(['[D/N']] = "D"),    [LUCRO P/ OP]), 0)</f>
        <v>0</v>
      </c>
      <c r="AK4" s="106">
        <f>IF([U] = "U", SUMPRODUCT(N([DATA BASE]=NOTAS_80[[#This Row],[DATA BASE]]), N(['[D/N']] = "D"),    [IRRF FONTE]), 0)</f>
        <v>0</v>
      </c>
    </row>
    <row r="5" spans="1:37">
      <c r="A5" s="13">
        <v>4</v>
      </c>
      <c r="B5" s="114" t="s">
        <v>49</v>
      </c>
      <c r="C5" s="107" t="s">
        <v>143</v>
      </c>
      <c r="D5" s="85" t="s">
        <v>25</v>
      </c>
      <c r="E5" s="86">
        <v>41150</v>
      </c>
      <c r="F5" s="85">
        <v>300</v>
      </c>
      <c r="G5" s="87">
        <v>0.41</v>
      </c>
      <c r="H5" s="96"/>
      <c r="I5" s="97"/>
      <c r="J5" s="85" t="s">
        <v>6</v>
      </c>
      <c r="K5" s="115">
        <f>WORKDAY(NOTAS_80[[#This Row],[DATA]],1,0)</f>
        <v>41151</v>
      </c>
      <c r="L5" s="117">
        <f>EOMONTH(NOTAS_80[[#This Row],[DATA DE LIQUIDAÇÃO]],0)</f>
        <v>41152</v>
      </c>
      <c r="M5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4</v>
      </c>
      <c r="N5" s="116">
        <f>[QTDE]*[PREÇO]</f>
        <v>122.99999999999999</v>
      </c>
      <c r="O5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122.99999999999999</v>
      </c>
      <c r="P5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0.03</v>
      </c>
      <c r="Q5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0.04</v>
      </c>
      <c r="R5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0.08</v>
      </c>
      <c r="S5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2.7</v>
      </c>
      <c r="T5" s="116">
        <f>TRUNC([CORR BOV] * 20% * IF([PARCIAL] &gt; 0, [QTDE] / [PARCIAL], 1),2)</f>
        <v>0.54</v>
      </c>
      <c r="U5" s="116">
        <f>SUMPRODUCT(N([DATA]=NOTAS_80[[#This Row],[DATA]]),N([ID]&lt;=NOTAS_80[[#This Row],[ID]]), [CORR])</f>
        <v>0.54</v>
      </c>
      <c r="V5" s="116">
        <f>TRUNC([CORRETAGEM]*SETUP!$F$3,2)</f>
        <v>0.01</v>
      </c>
      <c r="W5" s="116">
        <f>ROUND([CORRETAGEM]*SETUP!$G$3,2)</f>
        <v>0.02</v>
      </c>
      <c r="X5" s="116">
        <f>[VALOR LÍQUIDO DAS OPERAÇÕES]-[TAXA DE LIQUIDAÇÃO]-[EMOLUMENTOS]-[TAXA DE REGISTRO]-[CORRETAGEM]-[ISS]-IF(['[D/N']]="D",    0,    [OUTRAS BOVESPA]) - [AJUSTE]</f>
        <v>122.27999999999997</v>
      </c>
      <c r="Y5" s="116">
        <f>IF(AND(['[D/N']]="D",    [T]="CV",    [LÍQUIDO BASE] &gt; 0),    TRUNC([LÍQUIDO BASE]*0.01, 2),    0)</f>
        <v>0</v>
      </c>
      <c r="Z5" s="63">
        <f>IF([PREÇO] &gt; 0,    [LÍQUIDO BASE]-SUMPRODUCT(N([DATA]=NOTAS_80[[#This Row],[DATA]]),    [IRRF FONTE]),    0)</f>
        <v>122.27999999999997</v>
      </c>
      <c r="AA5" s="118">
        <f>[LÍQUIDO]-SUMPRODUCT(N([DATA]=NOTAS_80[[#This Row],[DATA]]),N([ID]=(NOTAS_80[[#This Row],[ID]]-1)),[LÍQUIDO])</f>
        <v>122.27999999999997</v>
      </c>
      <c r="AB5" s="116">
        <f>IF([T] = "VC", ABS([VALOR OP]) / [QTDE], [VALOR OP]/[QTDE])</f>
        <v>0.40759999999999991</v>
      </c>
      <c r="AC5" s="116">
        <f>TRUNC(IF(OR([T]="CV",[T]="VV"),     N5*SETUP!$H$3,     0),2)</f>
        <v>0</v>
      </c>
      <c r="AD5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5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0.40240000000000004</v>
      </c>
      <c r="AF5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0.40759999999999991</v>
      </c>
      <c r="AG5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1.5599999999999614</v>
      </c>
      <c r="AH5" s="116">
        <f>IF([LUCRO TMP] &lt;&gt; 0, [LUCRO TMP] - SUMPRODUCT(N([ATIVO]=NOTAS_80[[#This Row],[ATIVO]]),N(['[D/N']]="N"),N([ID]&lt;NOTAS_80[[#This Row],[ID]]),N([PAR]=NOTAS_80[[#This Row],[PAR]]), [LUCRO TMP]), 0)</f>
        <v>1.5599999999999614</v>
      </c>
      <c r="AI5" s="116">
        <f>IF([U] = "U", SUMPRODUCT(N([ID]&lt;=NOTAS_80[[#This Row],[ID]]),N([DATA BASE]=NOTAS_80[[#This Row],[DATA BASE]]), N(['[D/N']] = "N"),    [LUCRO P/ OP]), 0)</f>
        <v>-60.290000000000049</v>
      </c>
      <c r="AJ5" s="116">
        <f>IF([U] = "U", SUMPRODUCT(N([DATA BASE]=NOTAS_80[[#This Row],[DATA BASE]]), N(['[D/N']] = "D"),    [LUCRO P/ OP]), 0)</f>
        <v>0</v>
      </c>
      <c r="AK5" s="116">
        <f>IF([U] = "U", SUMPRODUCT(N([DATA BASE]=NOTAS_80[[#This Row],[DATA BASE]]), N(['[D/N']] = "D"),    [IRRF FONTE]), 0)</f>
        <v>0</v>
      </c>
    </row>
    <row r="6" spans="1:37">
      <c r="A6" s="13">
        <v>5</v>
      </c>
      <c r="B6" s="107"/>
      <c r="C6" s="107" t="s">
        <v>154</v>
      </c>
      <c r="D6" s="13" t="s">
        <v>24</v>
      </c>
      <c r="E6" s="86">
        <v>41156</v>
      </c>
      <c r="F6" s="85">
        <v>400</v>
      </c>
      <c r="G6" s="87">
        <v>1.62</v>
      </c>
      <c r="H6" s="96"/>
      <c r="I6" s="127"/>
      <c r="J6" s="13" t="s">
        <v>14</v>
      </c>
      <c r="K6" s="108">
        <f>WORKDAY(NOTAS_80[[#This Row],[DATA]],1,0)</f>
        <v>41157</v>
      </c>
      <c r="L6" s="109">
        <f>EOMONTH(NOTAS_80[[#This Row],[DATA DE LIQUIDAÇÃO]],0)</f>
        <v>41182</v>
      </c>
      <c r="M6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6" s="106">
        <f>[QTDE]*[PREÇO]</f>
        <v>648</v>
      </c>
      <c r="O6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-648</v>
      </c>
      <c r="P6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0.11</v>
      </c>
      <c r="Q6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7.0000000000000007E-2</v>
      </c>
      <c r="R6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0.09</v>
      </c>
      <c r="S6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12.209999999999999</v>
      </c>
      <c r="T6" s="106">
        <f>TRUNC([CORR BOV] * 20% * IF([PARCIAL] &gt; 0, [QTDE] / [PARCIAL], 1),2)</f>
        <v>2.44</v>
      </c>
      <c r="U6" s="106">
        <f>SUMPRODUCT(N([DATA]=NOTAS_80[[#This Row],[DATA]]),N([ID]&lt;=NOTAS_80[[#This Row],[ID]]), [CORR])</f>
        <v>2.44</v>
      </c>
      <c r="V6" s="106">
        <f>TRUNC([CORRETAGEM]*SETUP!$F$3,2)</f>
        <v>0.04</v>
      </c>
      <c r="W6" s="106">
        <f>ROUND([CORRETAGEM]*SETUP!$G$3,2)</f>
        <v>0.1</v>
      </c>
      <c r="X6" s="106">
        <f>[VALOR LÍQUIDO DAS OPERAÇÕES]-[TAXA DE LIQUIDAÇÃO]-[EMOLUMENTOS]-[TAXA DE REGISTRO]-[CORRETAGEM]-[ISS]-IF(['[D/N']]="D",    0,    [OUTRAS BOVESPA]) - [AJUSTE]</f>
        <v>-650.75000000000011</v>
      </c>
      <c r="Y6" s="106">
        <f>IF(AND(['[D/N']]="D",    [T]="CV",    [LÍQUIDO BASE] &gt; 0),    TRUNC([LÍQUIDO BASE]*0.01, 2),    0)</f>
        <v>0</v>
      </c>
      <c r="Z6" s="23">
        <f>IF([PREÇO] &gt; 0,    [LÍQUIDO BASE]-SUMPRODUCT(N([DATA]=NOTAS_80[[#This Row],[DATA]]),    [IRRF FONTE]),    0)</f>
        <v>-650.75000000000011</v>
      </c>
      <c r="AA6" s="110">
        <f>[LÍQUIDO]-SUMPRODUCT(N([DATA]=NOTAS_80[[#This Row],[DATA]]),N([ID]=(NOTAS_80[[#This Row],[ID]]-1)),[LÍQUIDO])</f>
        <v>-650.75000000000011</v>
      </c>
      <c r="AB6" s="106">
        <f>IF([T] = "VC", ABS([VALOR OP]) / [QTDE], [VALOR OP]/[QTDE])</f>
        <v>-1.6268750000000003</v>
      </c>
      <c r="AC6" s="106">
        <f>TRUNC(IF(OR([T]="CV",[T]="VV"),     N6*SETUP!$H$3,     0),2)</f>
        <v>0</v>
      </c>
      <c r="AD6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6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1.6268750000000003</v>
      </c>
      <c r="AF6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6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6" s="106">
        <f>IF([LUCRO TMP] &lt;&gt; 0, [LUCRO TMP] - SUMPRODUCT(N([ATIVO]=NOTAS_80[[#This Row],[ATIVO]]),N(['[D/N']]="N"),N([ID]&lt;NOTAS_80[[#This Row],[ID]]),N([PAR]=NOTAS_80[[#This Row],[PAR]]), [LUCRO TMP]), 0)</f>
        <v>0</v>
      </c>
      <c r="AI6" s="106">
        <f>IF([U] = "U", SUMPRODUCT(N([ID]&lt;=NOTAS_80[[#This Row],[ID]]),N([DATA BASE]=NOTAS_80[[#This Row],[DATA BASE]]), N(['[D/N']] = "N"),    [LUCRO P/ OP]), 0)</f>
        <v>0</v>
      </c>
      <c r="AJ6" s="106">
        <f>IF([U] = "U", SUMPRODUCT(N([DATA BASE]=NOTAS_80[[#This Row],[DATA BASE]]), N(['[D/N']] = "D"),    [LUCRO P/ OP]), 0)</f>
        <v>0</v>
      </c>
      <c r="AK6" s="106">
        <f>IF([U] = "U", SUMPRODUCT(N([DATA BASE]=NOTAS_80[[#This Row],[DATA BASE]]), N(['[D/N']] = "D"),    [IRRF FONTE]), 0)</f>
        <v>0</v>
      </c>
    </row>
    <row r="7" spans="1:37">
      <c r="A7" s="13">
        <v>6</v>
      </c>
      <c r="B7" s="107"/>
      <c r="C7" s="107" t="s">
        <v>154</v>
      </c>
      <c r="D7" s="85" t="s">
        <v>25</v>
      </c>
      <c r="E7" s="86">
        <v>41156</v>
      </c>
      <c r="F7" s="85">
        <v>400</v>
      </c>
      <c r="G7" s="87">
        <v>1.61</v>
      </c>
      <c r="H7" s="96"/>
      <c r="I7" s="127"/>
      <c r="J7" s="13" t="s">
        <v>14</v>
      </c>
      <c r="K7" s="108">
        <f>WORKDAY(NOTAS_80[[#This Row],[DATA]],1,0)</f>
        <v>41157</v>
      </c>
      <c r="L7" s="109">
        <f>EOMONTH(NOTAS_80[[#This Row],[DATA DE LIQUIDAÇÃO]],0)</f>
        <v>41182</v>
      </c>
      <c r="M7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7" s="106">
        <f>[QTDE]*[PREÇO]</f>
        <v>644</v>
      </c>
      <c r="O7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-4</v>
      </c>
      <c r="P7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0.23</v>
      </c>
      <c r="Q7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0.15</v>
      </c>
      <c r="R7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0.19</v>
      </c>
      <c r="S7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12.15</v>
      </c>
      <c r="T7" s="106">
        <f>TRUNC([CORR BOV] * 20% * IF([PARCIAL] &gt; 0, [QTDE] / [PARCIAL], 1),2)</f>
        <v>2.4300000000000002</v>
      </c>
      <c r="U7" s="106">
        <f>SUMPRODUCT(N([DATA]=NOTAS_80[[#This Row],[DATA]]),N([ID]&lt;=NOTAS_80[[#This Row],[ID]]), [CORR])</f>
        <v>4.87</v>
      </c>
      <c r="V7" s="106">
        <f>TRUNC([CORRETAGEM]*SETUP!$F$3,2)</f>
        <v>0.09</v>
      </c>
      <c r="W7" s="106">
        <f>ROUND([CORRETAGEM]*SETUP!$G$3,2)</f>
        <v>0.19</v>
      </c>
      <c r="X7" s="106">
        <f>[VALOR LÍQUIDO DAS OPERAÇÕES]-[TAXA DE LIQUIDAÇÃO]-[EMOLUMENTOS]-[TAXA DE REGISTRO]-[CORRETAGEM]-[ISS]-IF(['[D/N']]="D",    0,    [OUTRAS BOVESPA]) - [AJUSTE]</f>
        <v>-9.5300000000000011</v>
      </c>
      <c r="Y7" s="106">
        <f>IF(AND(['[D/N']]="D",    [T]="CV",    [LÍQUIDO BASE] &gt; 0),    TRUNC([LÍQUIDO BASE]*0.01, 2),    0)</f>
        <v>0</v>
      </c>
      <c r="Z7" s="23">
        <f>IF([PREÇO] &gt; 0,    [LÍQUIDO BASE]-SUMPRODUCT(N([DATA]=NOTAS_80[[#This Row],[DATA]]),    [IRRF FONTE]),    0)</f>
        <v>-9.5300000000000011</v>
      </c>
      <c r="AA7" s="110">
        <f>[LÍQUIDO]-SUMPRODUCT(N([DATA]=NOTAS_80[[#This Row],[DATA]]),N([ID]=(NOTAS_80[[#This Row],[ID]]-1)),[LÍQUIDO])</f>
        <v>641.22000000000014</v>
      </c>
      <c r="AB7" s="106">
        <f>IF([T] = "VC", ABS([VALOR OP]) / [QTDE], [VALOR OP]/[QTDE])</f>
        <v>1.6030500000000003</v>
      </c>
      <c r="AC7" s="106">
        <f>TRUNC(IF(OR([T]="CV",[T]="VV"),     N7*SETUP!$H$3,     0),2)</f>
        <v>0.03</v>
      </c>
      <c r="AD7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7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1.6268750000000003</v>
      </c>
      <c r="AF7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1.6030500000000003</v>
      </c>
      <c r="AG7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-9.529999999999994</v>
      </c>
      <c r="AH7" s="106">
        <f>IF([LUCRO TMP] &lt;&gt; 0, [LUCRO TMP] - SUMPRODUCT(N([ATIVO]=NOTAS_80[[#This Row],[ATIVO]]),N(['[D/N']]="N"),N([ID]&lt;NOTAS_80[[#This Row],[ID]]),N([PAR]=NOTAS_80[[#This Row],[PAR]]), [LUCRO TMP]), 0)</f>
        <v>-9.529999999999994</v>
      </c>
      <c r="AI7" s="106">
        <f>IF([U] = "U", SUMPRODUCT(N([ID]&lt;=NOTAS_80[[#This Row],[ID]]),N([DATA BASE]=NOTAS_80[[#This Row],[DATA BASE]]), N(['[D/N']] = "N"),    [LUCRO P/ OP]), 0)</f>
        <v>0</v>
      </c>
      <c r="AJ7" s="106">
        <f>IF([U] = "U", SUMPRODUCT(N([DATA BASE]=NOTAS_80[[#This Row],[DATA BASE]]), N(['[D/N']] = "D"),    [LUCRO P/ OP]), 0)</f>
        <v>0</v>
      </c>
      <c r="AK7" s="106">
        <f>IF([U] = "U", SUMPRODUCT(N([DATA BASE]=NOTAS_80[[#This Row],[DATA BASE]]), N(['[D/N']] = "D"),    [IRRF FONTE]), 0)</f>
        <v>0</v>
      </c>
    </row>
    <row r="8" spans="1:37">
      <c r="A8" s="13">
        <v>7</v>
      </c>
      <c r="B8" s="107"/>
      <c r="C8" s="107" t="s">
        <v>153</v>
      </c>
      <c r="D8" s="13" t="s">
        <v>66</v>
      </c>
      <c r="E8" s="86">
        <v>41156</v>
      </c>
      <c r="F8" s="85">
        <v>100</v>
      </c>
      <c r="G8" s="87">
        <v>1.6</v>
      </c>
      <c r="H8" s="96"/>
      <c r="I8" s="127"/>
      <c r="J8" s="13" t="s">
        <v>14</v>
      </c>
      <c r="K8" s="108">
        <f>WORKDAY(NOTAS_80[[#This Row],[DATA]],1,0)</f>
        <v>41157</v>
      </c>
      <c r="L8" s="109">
        <f>EOMONTH(NOTAS_80[[#This Row],[DATA DE LIQUIDAÇÃO]],0)</f>
        <v>41182</v>
      </c>
      <c r="M8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8" s="106">
        <f>[QTDE]*[PREÇO]</f>
        <v>160</v>
      </c>
      <c r="O8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156</v>
      </c>
      <c r="P8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0.26</v>
      </c>
      <c r="Q8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0.17</v>
      </c>
      <c r="R8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0.21</v>
      </c>
      <c r="S8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3.2</v>
      </c>
      <c r="T8" s="106">
        <f>TRUNC([CORR BOV] * 20% * IF([PARCIAL] &gt; 0, [QTDE] / [PARCIAL], 1),2)</f>
        <v>0.64</v>
      </c>
      <c r="U8" s="106">
        <f>SUMPRODUCT(N([DATA]=NOTAS_80[[#This Row],[DATA]]),N([ID]&lt;=NOTAS_80[[#This Row],[ID]]), [CORR])</f>
        <v>5.51</v>
      </c>
      <c r="V8" s="106">
        <f>TRUNC([CORRETAGEM]*SETUP!$F$3,2)</f>
        <v>0.11</v>
      </c>
      <c r="W8" s="106">
        <f>ROUND([CORRETAGEM]*SETUP!$G$3,2)</f>
        <v>0.21</v>
      </c>
      <c r="X8" s="106">
        <f>[VALOR LÍQUIDO DAS OPERAÇÕES]-[TAXA DE LIQUIDAÇÃO]-[EMOLUMENTOS]-[TAXA DE REGISTRO]-[CORRETAGEM]-[ISS]-IF(['[D/N']]="D",    0,    [OUTRAS BOVESPA]) - [AJUSTE]</f>
        <v>149.74</v>
      </c>
      <c r="Y8" s="106">
        <f>IF(AND(['[D/N']]="D",    [T]="CV",    [LÍQUIDO BASE] &gt; 0),    TRUNC([LÍQUIDO BASE]*0.01, 2),    0)</f>
        <v>0</v>
      </c>
      <c r="Z8" s="23">
        <f>IF([PREÇO] &gt; 0,    [LÍQUIDO BASE]-SUMPRODUCT(N([DATA]=NOTAS_80[[#This Row],[DATA]]),    [IRRF FONTE]),    0)</f>
        <v>149.74</v>
      </c>
      <c r="AA8" s="110">
        <f>[LÍQUIDO]-SUMPRODUCT(N([DATA]=NOTAS_80[[#This Row],[DATA]]),N([ID]=(NOTAS_80[[#This Row],[ID]]-1)),[LÍQUIDO])</f>
        <v>159.27000000000001</v>
      </c>
      <c r="AB8" s="106">
        <f>IF([T] = "VC", ABS([VALOR OP]) / [QTDE], [VALOR OP]/[QTDE])</f>
        <v>1.5927</v>
      </c>
      <c r="AC8" s="106">
        <f>TRUNC(IF(OR([T]="CV",[T]="VV"),     N8*SETUP!$H$3,     0),2)</f>
        <v>0</v>
      </c>
      <c r="AD8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8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</v>
      </c>
      <c r="AF8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1.5927</v>
      </c>
      <c r="AG8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8" s="106">
        <f>IF([LUCRO TMP] &lt;&gt; 0, [LUCRO TMP] - SUMPRODUCT(N([ATIVO]=NOTAS_80[[#This Row],[ATIVO]]),N(['[D/N']]="N"),N([ID]&lt;NOTAS_80[[#This Row],[ID]]),N([PAR]=NOTAS_80[[#This Row],[PAR]]), [LUCRO TMP]), 0)</f>
        <v>0</v>
      </c>
      <c r="AI8" s="106">
        <f>IF([U] = "U", SUMPRODUCT(N([ID]&lt;=NOTAS_80[[#This Row],[ID]]),N([DATA BASE]=NOTAS_80[[#This Row],[DATA BASE]]), N(['[D/N']] = "N"),    [LUCRO P/ OP]), 0)</f>
        <v>0</v>
      </c>
      <c r="AJ8" s="106">
        <f>IF([U] = "U", SUMPRODUCT(N([DATA BASE]=NOTAS_80[[#This Row],[DATA BASE]]), N(['[D/N']] = "D"),    [LUCRO P/ OP]), 0)</f>
        <v>0</v>
      </c>
      <c r="AK8" s="106">
        <f>IF([U] = "U", SUMPRODUCT(N([DATA BASE]=NOTAS_80[[#This Row],[DATA BASE]]), N(['[D/N']] = "D"),    [IRRF FONTE]), 0)</f>
        <v>0</v>
      </c>
    </row>
    <row r="9" spans="1:37">
      <c r="A9" s="13">
        <v>8</v>
      </c>
      <c r="B9" s="107"/>
      <c r="C9" s="107" t="s">
        <v>153</v>
      </c>
      <c r="D9" s="13" t="s">
        <v>67</v>
      </c>
      <c r="E9" s="86">
        <v>41156</v>
      </c>
      <c r="F9" s="85">
        <v>100</v>
      </c>
      <c r="G9" s="87">
        <v>1.61</v>
      </c>
      <c r="H9" s="96"/>
      <c r="I9" s="97">
        <v>-1.56</v>
      </c>
      <c r="J9" s="13" t="s">
        <v>14</v>
      </c>
      <c r="K9" s="108">
        <f>WORKDAY(NOTAS_80[[#This Row],[DATA]],1,0)</f>
        <v>41157</v>
      </c>
      <c r="L9" s="109">
        <f>EOMONTH(NOTAS_80[[#This Row],[DATA DE LIQUIDAÇÃO]],0)</f>
        <v>41182</v>
      </c>
      <c r="M9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9" s="106">
        <f>[QTDE]*[PREÇO]</f>
        <v>161</v>
      </c>
      <c r="O9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-5</v>
      </c>
      <c r="P9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0.28999999999999998</v>
      </c>
      <c r="Q9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0.19</v>
      </c>
      <c r="R9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0.24</v>
      </c>
      <c r="S9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3.22</v>
      </c>
      <c r="T9" s="106">
        <f>TRUNC([CORR BOV] * 20% * IF([PARCIAL] &gt; 0, [QTDE] / [PARCIAL], 1),2)</f>
        <v>0.64</v>
      </c>
      <c r="U9" s="106">
        <f>SUMPRODUCT(N([DATA]=NOTAS_80[[#This Row],[DATA]]),N([ID]&lt;=NOTAS_80[[#This Row],[ID]]), [CORR])</f>
        <v>6.1499999999999995</v>
      </c>
      <c r="V9" s="106">
        <f>TRUNC([CORRETAGEM]*SETUP!$F$3,2)</f>
        <v>0.12</v>
      </c>
      <c r="W9" s="106">
        <f>ROUND([CORRETAGEM]*SETUP!$G$3,2)</f>
        <v>0.24</v>
      </c>
      <c r="X9" s="106">
        <f>[VALOR LÍQUIDO DAS OPERAÇÕES]-[TAXA DE LIQUIDAÇÃO]-[EMOLUMENTOS]-[TAXA DE REGISTRO]-[CORRETAGEM]-[ISS]-IF(['[D/N']]="D",    0,    [OUTRAS BOVESPA]) - [AJUSTE]</f>
        <v>-10.43</v>
      </c>
      <c r="Y9" s="106">
        <f>IF(AND(['[D/N']]="D",    [T]="CV",    [LÍQUIDO BASE] &gt; 0),    TRUNC([LÍQUIDO BASE]*0.01, 2),    0)</f>
        <v>0</v>
      </c>
      <c r="Z9" s="23">
        <f>IF([PREÇO] &gt; 0,    [LÍQUIDO BASE]-SUMPRODUCT(N([DATA]=NOTAS_80[[#This Row],[DATA]]),    [IRRF FONTE]),    0)</f>
        <v>-10.43</v>
      </c>
      <c r="AA9" s="110">
        <f>[LÍQUIDO]-SUMPRODUCT(N([DATA]=NOTAS_80[[#This Row],[DATA]]),N([ID]=(NOTAS_80[[#This Row],[ID]]-1)),[LÍQUIDO])</f>
        <v>-160.17000000000002</v>
      </c>
      <c r="AB9" s="106">
        <f>IF([T] = "VC", ABS([VALOR OP]) / [QTDE], [VALOR OP]/[QTDE])</f>
        <v>1.6017000000000001</v>
      </c>
      <c r="AC9" s="106">
        <f>TRUNC(IF(OR([T]="CV",[T]="VV"),     N9*SETUP!$H$3,     0),2)</f>
        <v>0</v>
      </c>
      <c r="AD9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9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1.6017000000000001</v>
      </c>
      <c r="AF9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1.5927</v>
      </c>
      <c r="AG9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-0.9000000000000119</v>
      </c>
      <c r="AH9" s="106">
        <f>IF([LUCRO TMP] &lt;&gt; 0, [LUCRO TMP] - SUMPRODUCT(N([ATIVO]=NOTAS_80[[#This Row],[ATIVO]]),N(['[D/N']]="N"),N([ID]&lt;NOTAS_80[[#This Row],[ID]]),N([PAR]=NOTAS_80[[#This Row],[PAR]]), [LUCRO TMP]), 0)</f>
        <v>-0.9000000000000119</v>
      </c>
      <c r="AI9" s="106">
        <f>IF([U] = "U", SUMPRODUCT(N([ID]&lt;=NOTAS_80[[#This Row],[ID]]),N([DATA BASE]=NOTAS_80[[#This Row],[DATA BASE]]), N(['[D/N']] = "N"),    [LUCRO P/ OP]), 0)</f>
        <v>0</v>
      </c>
      <c r="AJ9" s="106">
        <f>IF([U] = "U", SUMPRODUCT(N([DATA BASE]=NOTAS_80[[#This Row],[DATA BASE]]), N(['[D/N']] = "D"),    [LUCRO P/ OP]), 0)</f>
        <v>0</v>
      </c>
      <c r="AK9" s="106">
        <f>IF([U] = "U", SUMPRODUCT(N([DATA BASE]=NOTAS_80[[#This Row],[DATA BASE]]), N(['[D/N']] = "D"),    [IRRF FONTE]), 0)</f>
        <v>0</v>
      </c>
    </row>
    <row r="10" spans="1:37">
      <c r="A10" s="13">
        <v>9</v>
      </c>
      <c r="B10" s="114"/>
      <c r="C10" s="107" t="s">
        <v>151</v>
      </c>
      <c r="D10" s="13" t="s">
        <v>66</v>
      </c>
      <c r="E10" s="86">
        <v>41156</v>
      </c>
      <c r="F10" s="85">
        <v>300</v>
      </c>
      <c r="G10" s="87">
        <v>1.61</v>
      </c>
      <c r="H10" s="96"/>
      <c r="I10" s="127"/>
      <c r="J10" s="85" t="s">
        <v>6</v>
      </c>
      <c r="K10" s="115">
        <f>WORKDAY(NOTAS_80[[#This Row],[DATA]],1,0)</f>
        <v>41157</v>
      </c>
      <c r="L10" s="117">
        <f>EOMONTH(NOTAS_80[[#This Row],[DATA DE LIQUIDAÇÃO]],0)</f>
        <v>41182</v>
      </c>
      <c r="M10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10" s="116">
        <f>[QTDE]*[PREÇO]</f>
        <v>483.00000000000006</v>
      </c>
      <c r="O10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478</v>
      </c>
      <c r="P10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0.42</v>
      </c>
      <c r="Q10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0.37</v>
      </c>
      <c r="R10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0.56999999999999995</v>
      </c>
      <c r="S10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9.6600000000000019</v>
      </c>
      <c r="T10" s="116">
        <f>TRUNC([CORR BOV] * 20% * IF([PARCIAL] &gt; 0, [QTDE] / [PARCIAL], 1),2)</f>
        <v>1.93</v>
      </c>
      <c r="U10" s="116">
        <f>SUMPRODUCT(N([DATA]=NOTAS_80[[#This Row],[DATA]]),N([ID]&lt;=NOTAS_80[[#This Row],[ID]]), [CORR])</f>
        <v>8.08</v>
      </c>
      <c r="V10" s="116">
        <f>TRUNC([CORRETAGEM]*SETUP!$F$3,2)</f>
        <v>0.16</v>
      </c>
      <c r="W10" s="116">
        <f>ROUND([CORRETAGEM]*SETUP!$G$3,2)</f>
        <v>0.32</v>
      </c>
      <c r="X10" s="116">
        <f>[VALOR LÍQUIDO DAS OPERAÇÕES]-[TAXA DE LIQUIDAÇÃO]-[EMOLUMENTOS]-[TAXA DE REGISTRO]-[CORRETAGEM]-[ISS]-IF(['[D/N']]="D",    0,    [OUTRAS BOVESPA]) - [AJUSTE]</f>
        <v>468.08</v>
      </c>
      <c r="Y10" s="116">
        <f>IF(AND(['[D/N']]="D",    [T]="CV",    [LÍQUIDO BASE] &gt; 0),    TRUNC([LÍQUIDO BASE]*0.01, 2),    0)</f>
        <v>0</v>
      </c>
      <c r="Z10" s="63">
        <f>IF([PREÇO] &gt; 0,    [LÍQUIDO BASE]-SUMPRODUCT(N([DATA]=NOTAS_80[[#This Row],[DATA]]),    [IRRF FONTE]),    0)</f>
        <v>468.08</v>
      </c>
      <c r="AA10" s="118">
        <f>[LÍQUIDO]-SUMPRODUCT(N([DATA]=NOTAS_80[[#This Row],[DATA]]),N([ID]=(NOTAS_80[[#This Row],[ID]]-1)),[LÍQUIDO])</f>
        <v>478.51</v>
      </c>
      <c r="AB10" s="116">
        <f>IF([T] = "VC", ABS([VALOR OP]) / [QTDE], [VALOR OP]/[QTDE])</f>
        <v>1.5950333333333333</v>
      </c>
      <c r="AC10" s="116">
        <f>TRUNC(IF(OR([T]="CV",[T]="VV"),     N10*SETUP!$H$3,     0),2)</f>
        <v>0.02</v>
      </c>
      <c r="AD10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-300</v>
      </c>
      <c r="AE10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</v>
      </c>
      <c r="AF10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1.5950333333333333</v>
      </c>
      <c r="AG10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10" s="116">
        <f>IF([LUCRO TMP] &lt;&gt; 0, [LUCRO TMP] - SUMPRODUCT(N([ATIVO]=NOTAS_80[[#This Row],[ATIVO]]),N(['[D/N']]="N"),N([ID]&lt;NOTAS_80[[#This Row],[ID]]),N([PAR]=NOTAS_80[[#This Row],[PAR]]), [LUCRO TMP]), 0)</f>
        <v>0</v>
      </c>
      <c r="AI10" s="116">
        <f>IF([U] = "U", SUMPRODUCT(N([ID]&lt;=NOTAS_80[[#This Row],[ID]]),N([DATA BASE]=NOTAS_80[[#This Row],[DATA BASE]]), N(['[D/N']] = "N"),    [LUCRO P/ OP]), 0)</f>
        <v>0</v>
      </c>
      <c r="AJ10" s="116">
        <f>IF([U] = "U", SUMPRODUCT(N([DATA BASE]=NOTAS_80[[#This Row],[DATA BASE]]), N(['[D/N']] = "D"),    [LUCRO P/ OP]), 0)</f>
        <v>0</v>
      </c>
      <c r="AK10" s="116">
        <f>IF([U] = "U", SUMPRODUCT(N([DATA BASE]=NOTAS_80[[#This Row],[DATA BASE]]), N(['[D/N']] = "D"),    [IRRF FONTE]), 0)</f>
        <v>0</v>
      </c>
    </row>
    <row r="11" spans="1:37">
      <c r="A11" s="13">
        <v>10</v>
      </c>
      <c r="B11" s="114"/>
      <c r="C11" s="114" t="s">
        <v>152</v>
      </c>
      <c r="D11" s="13" t="s">
        <v>24</v>
      </c>
      <c r="E11" s="86">
        <v>41156</v>
      </c>
      <c r="F11" s="85">
        <v>300</v>
      </c>
      <c r="G11" s="87">
        <v>0.92</v>
      </c>
      <c r="H11" s="96"/>
      <c r="I11" s="97">
        <v>-2.57</v>
      </c>
      <c r="J11" s="85" t="s">
        <v>6</v>
      </c>
      <c r="K11" s="115">
        <f>WORKDAY(NOTAS_80[[#This Row],[DATA]],1,0)</f>
        <v>41157</v>
      </c>
      <c r="L11" s="117">
        <f>EOMONTH(NOTAS_80[[#This Row],[DATA DE LIQUIDAÇÃO]],0)</f>
        <v>41182</v>
      </c>
      <c r="M11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11" s="116">
        <f>[QTDE]*[PREÇO]</f>
        <v>276</v>
      </c>
      <c r="O11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202</v>
      </c>
      <c r="P11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0.49</v>
      </c>
      <c r="Q11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0.47</v>
      </c>
      <c r="R11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0.76</v>
      </c>
      <c r="S11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5.5200000000000005</v>
      </c>
      <c r="T11" s="116">
        <f>TRUNC([CORR BOV] * 20% * IF([PARCIAL] &gt; 0, [QTDE] / [PARCIAL], 1),2)</f>
        <v>1.1000000000000001</v>
      </c>
      <c r="U11" s="116">
        <f>SUMPRODUCT(N([DATA]=NOTAS_80[[#This Row],[DATA]]),N([ID]&lt;=NOTAS_80[[#This Row],[ID]]), [CORR])</f>
        <v>9.18</v>
      </c>
      <c r="V11" s="116">
        <f>TRUNC([CORRETAGEM]*SETUP!$F$3,2)</f>
        <v>0.18</v>
      </c>
      <c r="W11" s="116">
        <f>ROUND([CORRETAGEM]*SETUP!$G$3,2)</f>
        <v>0.36</v>
      </c>
      <c r="X11" s="116">
        <f>[VALOR LÍQUIDO DAS OPERAÇÕES]-[TAXA DE LIQUIDAÇÃO]-[EMOLUMENTOS]-[TAXA DE REGISTRO]-[CORRETAGEM]-[ISS]-IF(['[D/N']]="D",    0,    [OUTRAS BOVESPA]) - [AJUSTE]</f>
        <v>193.12999999999997</v>
      </c>
      <c r="Y11" s="116">
        <f>IF(AND(['[D/N']]="D",    [T]="CV",    [LÍQUIDO BASE] &gt; 0),    TRUNC([LÍQUIDO BASE]*0.01, 2),    0)</f>
        <v>0</v>
      </c>
      <c r="Z11" s="63">
        <f>IF([PREÇO] &gt; 0,    [LÍQUIDO BASE]-SUMPRODUCT(N([DATA]=NOTAS_80[[#This Row],[DATA]]),    [IRRF FONTE]),    0)</f>
        <v>193.12999999999997</v>
      </c>
      <c r="AA11" s="118">
        <f>[LÍQUIDO]-SUMPRODUCT(N([DATA]=NOTAS_80[[#This Row],[DATA]]),N([ID]=(NOTAS_80[[#This Row],[ID]]-1)),[LÍQUIDO])</f>
        <v>-274.95000000000005</v>
      </c>
      <c r="AB11" s="116">
        <f>IF([T] = "VC", ABS([VALOR OP]) / [QTDE], [VALOR OP]/[QTDE])</f>
        <v>-0.9165000000000002</v>
      </c>
      <c r="AC11" s="116">
        <f>TRUNC(IF(OR([T]="CV",[T]="VV"),     N11*SETUP!$H$3,     0),2)</f>
        <v>0</v>
      </c>
      <c r="AD11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300</v>
      </c>
      <c r="AE11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0.9165000000000002</v>
      </c>
      <c r="AF11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11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11" s="116">
        <f>IF([LUCRO TMP] &lt;&gt; 0, [LUCRO TMP] - SUMPRODUCT(N([ATIVO]=NOTAS_80[[#This Row],[ATIVO]]),N(['[D/N']]="N"),N([ID]&lt;NOTAS_80[[#This Row],[ID]]),N([PAR]=NOTAS_80[[#This Row],[PAR]]), [LUCRO TMP]), 0)</f>
        <v>0</v>
      </c>
      <c r="AI11" s="116">
        <f>IF([U] = "U", SUMPRODUCT(N([ID]&lt;=NOTAS_80[[#This Row],[ID]]),N([DATA BASE]=NOTAS_80[[#This Row],[DATA BASE]]), N(['[D/N']] = "N"),    [LUCRO P/ OP]), 0)</f>
        <v>0</v>
      </c>
      <c r="AJ11" s="116">
        <f>IF([U] = "U", SUMPRODUCT(N([DATA BASE]=NOTAS_80[[#This Row],[DATA BASE]]), N(['[D/N']] = "D"),    [LUCRO P/ OP]), 0)</f>
        <v>0</v>
      </c>
      <c r="AK11" s="116">
        <f>IF([U] = "U", SUMPRODUCT(N([DATA BASE]=NOTAS_80[[#This Row],[DATA BASE]]), N(['[D/N']] = "D"),    [IRRF FONTE]), 0)</f>
        <v>0</v>
      </c>
    </row>
    <row r="12" spans="1:37">
      <c r="A12" s="13">
        <v>11</v>
      </c>
      <c r="B12" s="107"/>
      <c r="C12" s="107" t="s">
        <v>151</v>
      </c>
      <c r="D12" s="13" t="s">
        <v>67</v>
      </c>
      <c r="E12" s="86">
        <v>41157</v>
      </c>
      <c r="F12" s="85">
        <v>300</v>
      </c>
      <c r="G12" s="87">
        <v>1.76</v>
      </c>
      <c r="H12" s="96"/>
      <c r="I12" s="97"/>
      <c r="J12" s="85" t="s">
        <v>6</v>
      </c>
      <c r="K12" s="108">
        <f>WORKDAY(NOTAS_80[[#This Row],[DATA]],1,0)</f>
        <v>41158</v>
      </c>
      <c r="L12" s="109">
        <f>EOMONTH(NOTAS_80[[#This Row],[DATA DE LIQUIDAÇÃO]],0)</f>
        <v>41182</v>
      </c>
      <c r="M12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12" s="106">
        <f>[QTDE]*[PREÇO]</f>
        <v>528</v>
      </c>
      <c r="O12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-528</v>
      </c>
      <c r="P12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0.14000000000000001</v>
      </c>
      <c r="Q12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0.19</v>
      </c>
      <c r="R12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0.36</v>
      </c>
      <c r="S12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10.41</v>
      </c>
      <c r="T12" s="106">
        <f>TRUNC([CORR BOV] * 20% * IF([PARCIAL] &gt; 0, [QTDE] / [PARCIAL], 1),2)</f>
        <v>2.08</v>
      </c>
      <c r="U12" s="106">
        <f>SUMPRODUCT(N([DATA]=NOTAS_80[[#This Row],[DATA]]),N([ID]&lt;=NOTAS_80[[#This Row],[ID]]), [CORR])</f>
        <v>2.08</v>
      </c>
      <c r="V12" s="106">
        <f>TRUNC([CORRETAGEM]*SETUP!$F$3,2)</f>
        <v>0.04</v>
      </c>
      <c r="W12" s="106">
        <f>ROUND([CORRETAGEM]*SETUP!$G$3,2)</f>
        <v>0.08</v>
      </c>
      <c r="X12" s="106">
        <f>[VALOR LÍQUIDO DAS OPERAÇÕES]-[TAXA DE LIQUIDAÇÃO]-[EMOLUMENTOS]-[TAXA DE REGISTRO]-[CORRETAGEM]-[ISS]-IF(['[D/N']]="D",    0,    [OUTRAS BOVESPA]) - [AJUSTE]</f>
        <v>-530.8900000000001</v>
      </c>
      <c r="Y12" s="106">
        <f>IF(AND(['[D/N']]="D",    [T]="CV",    [LÍQUIDO BASE] &gt; 0),    TRUNC([LÍQUIDO BASE]*0.01, 2),    0)</f>
        <v>0</v>
      </c>
      <c r="Z12" s="23">
        <f>IF([PREÇO] &gt; 0,    [LÍQUIDO BASE]-SUMPRODUCT(N([DATA]=NOTAS_80[[#This Row],[DATA]]),    [IRRF FONTE]),    0)</f>
        <v>-530.8900000000001</v>
      </c>
      <c r="AA12" s="110">
        <f>[LÍQUIDO]-SUMPRODUCT(N([DATA]=NOTAS_80[[#This Row],[DATA]]),N([ID]=(NOTAS_80[[#This Row],[ID]]-1)),[LÍQUIDO])</f>
        <v>-530.8900000000001</v>
      </c>
      <c r="AB12" s="106">
        <f>IF([T] = "VC", ABS([VALOR OP]) / [QTDE], [VALOR OP]/[QTDE])</f>
        <v>1.7696333333333336</v>
      </c>
      <c r="AC12" s="106">
        <f>TRUNC(IF(OR([T]="CV",[T]="VV"),     N12*SETUP!$H$3,     0),2)</f>
        <v>0</v>
      </c>
      <c r="AD12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12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1.7696333333333336</v>
      </c>
      <c r="AF12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1.5950333333333333</v>
      </c>
      <c r="AG12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-52.380000000000095</v>
      </c>
      <c r="AH12" s="106">
        <f>IF([LUCRO TMP] &lt;&gt; 0, [LUCRO TMP] - SUMPRODUCT(N([ATIVO]=NOTAS_80[[#This Row],[ATIVO]]),N(['[D/N']]="N"),N([ID]&lt;NOTAS_80[[#This Row],[ID]]),N([PAR]=NOTAS_80[[#This Row],[PAR]]), [LUCRO TMP]), 0)</f>
        <v>-52.380000000000095</v>
      </c>
      <c r="AI12" s="106">
        <f>IF([U] = "U", SUMPRODUCT(N([ID]&lt;=NOTAS_80[[#This Row],[ID]]),N([DATA BASE]=NOTAS_80[[#This Row],[DATA BASE]]), N(['[D/N']] = "N"),    [LUCRO P/ OP]), 0)</f>
        <v>0</v>
      </c>
      <c r="AJ12" s="106">
        <f>IF([U] = "U", SUMPRODUCT(N([DATA BASE]=NOTAS_80[[#This Row],[DATA BASE]]), N(['[D/N']] = "D"),    [LUCRO P/ OP]), 0)</f>
        <v>0</v>
      </c>
      <c r="AK12" s="106">
        <f>IF([U] = "U", SUMPRODUCT(N([DATA BASE]=NOTAS_80[[#This Row],[DATA BASE]]), N(['[D/N']] = "D"),    [IRRF FONTE]), 0)</f>
        <v>0</v>
      </c>
    </row>
    <row r="13" spans="1:37">
      <c r="A13" s="13">
        <v>12</v>
      </c>
      <c r="B13" s="107"/>
      <c r="C13" s="107" t="s">
        <v>155</v>
      </c>
      <c r="D13" s="107" t="s">
        <v>24</v>
      </c>
      <c r="E13" s="108">
        <v>41157</v>
      </c>
      <c r="F13" s="107">
        <v>1400</v>
      </c>
      <c r="G13" s="106">
        <v>0.3</v>
      </c>
      <c r="H13" s="105"/>
      <c r="I13" s="127">
        <v>-0.44</v>
      </c>
      <c r="J13" s="107" t="s">
        <v>6</v>
      </c>
      <c r="K13" s="108">
        <f>WORKDAY(NOTAS_80[[#This Row],[DATA]],1,0)</f>
        <v>41158</v>
      </c>
      <c r="L13" s="109">
        <f>EOMONTH(NOTAS_80[[#This Row],[DATA DE LIQUIDAÇÃO]],0)</f>
        <v>41182</v>
      </c>
      <c r="M13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13" s="106">
        <f>[QTDE]*[PREÇO]</f>
        <v>420</v>
      </c>
      <c r="O13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-948</v>
      </c>
      <c r="P13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0.26</v>
      </c>
      <c r="Q13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0.35</v>
      </c>
      <c r="R13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0.65</v>
      </c>
      <c r="S13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8.4</v>
      </c>
      <c r="T13" s="106">
        <f>TRUNC([CORR BOV] * 20% * IF([PARCIAL] &gt; 0, [QTDE] / [PARCIAL], 1),2)</f>
        <v>1.68</v>
      </c>
      <c r="U13" s="106">
        <f>SUMPRODUCT(N([DATA]=NOTAS_80[[#This Row],[DATA]]),N([ID]&lt;=NOTAS_80[[#This Row],[ID]]), [CORR])</f>
        <v>3.76</v>
      </c>
      <c r="V13" s="106">
        <f>TRUNC([CORRETAGEM]*SETUP!$F$3,2)</f>
        <v>7.0000000000000007E-2</v>
      </c>
      <c r="W13" s="106">
        <f>ROUND([CORRETAGEM]*SETUP!$G$3,2)</f>
        <v>0.15</v>
      </c>
      <c r="X13" s="106">
        <f>[VALOR LÍQUIDO DAS OPERAÇÕES]-[TAXA DE LIQUIDAÇÃO]-[EMOLUMENTOS]-[TAXA DE REGISTRO]-[CORRETAGEM]-[ISS]-IF(['[D/N']]="D",    0,    [OUTRAS BOVESPA]) - [AJUSTE]</f>
        <v>-952.8</v>
      </c>
      <c r="Y13" s="106">
        <f>IF(AND(['[D/N']]="D",    [T]="CV",    [LÍQUIDO BASE] &gt; 0),    TRUNC([LÍQUIDO BASE]*0.01, 2),    0)</f>
        <v>0</v>
      </c>
      <c r="Z13" s="23">
        <f>IF([PREÇO] &gt; 0,    [LÍQUIDO BASE]-SUMPRODUCT(N([DATA]=NOTAS_80[[#This Row],[DATA]]),    [IRRF FONTE]),    0)</f>
        <v>-952.8</v>
      </c>
      <c r="AA13" s="110">
        <f>[LÍQUIDO]-SUMPRODUCT(N([DATA]=NOTAS_80[[#This Row],[DATA]]),N([ID]=(NOTAS_80[[#This Row],[ID]]-1)),[LÍQUIDO])</f>
        <v>-421.90999999999985</v>
      </c>
      <c r="AB13" s="106">
        <f>IF([T] = "VC", ABS([VALOR OP]) / [QTDE], [VALOR OP]/[QTDE])</f>
        <v>-0.30136428571428558</v>
      </c>
      <c r="AC13" s="106">
        <f>TRUNC(IF(OR([T]="CV",[T]="VV"),     N13*SETUP!$H$3,     0),2)</f>
        <v>0</v>
      </c>
      <c r="AD13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1400</v>
      </c>
      <c r="AE13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0.30136428571428558</v>
      </c>
      <c r="AF13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13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13" s="106">
        <f>IF([LUCRO TMP] &lt;&gt; 0, [LUCRO TMP] - SUMPRODUCT(N([ATIVO]=NOTAS_80[[#This Row],[ATIVO]]),N(['[D/N']]="N"),N([ID]&lt;NOTAS_80[[#This Row],[ID]]),N([PAR]=NOTAS_80[[#This Row],[PAR]]), [LUCRO TMP]), 0)</f>
        <v>0</v>
      </c>
      <c r="AI13" s="106">
        <f>IF([U] = "U", SUMPRODUCT(N([ID]&lt;=NOTAS_80[[#This Row],[ID]]),N([DATA BASE]=NOTAS_80[[#This Row],[DATA BASE]]), N(['[D/N']] = "N"),    [LUCRO P/ OP]), 0)</f>
        <v>0</v>
      </c>
      <c r="AJ13" s="106">
        <f>IF([U] = "U", SUMPRODUCT(N([DATA BASE]=NOTAS_80[[#This Row],[DATA BASE]]), N(['[D/N']] = "D"),    [LUCRO P/ OP]), 0)</f>
        <v>0</v>
      </c>
      <c r="AK13" s="106">
        <f>IF([U] = "U", SUMPRODUCT(N([DATA BASE]=NOTAS_80[[#This Row],[DATA BASE]]), N(['[D/N']] = "D"),    [IRRF FONTE]), 0)</f>
        <v>0</v>
      </c>
    </row>
    <row r="14" spans="1:37">
      <c r="A14" s="13">
        <v>13</v>
      </c>
      <c r="B14" s="107"/>
      <c r="C14" s="107" t="s">
        <v>156</v>
      </c>
      <c r="D14" s="107" t="s">
        <v>24</v>
      </c>
      <c r="E14" s="108">
        <v>41162</v>
      </c>
      <c r="F14" s="107">
        <v>800</v>
      </c>
      <c r="G14" s="106">
        <v>0.51</v>
      </c>
      <c r="H14" s="105"/>
      <c r="I14" s="127"/>
      <c r="J14" s="107" t="s">
        <v>14</v>
      </c>
      <c r="K14" s="108">
        <f>WORKDAY(NOTAS_80[[#This Row],[DATA]],1,0)</f>
        <v>41163</v>
      </c>
      <c r="L14" s="109">
        <f>EOMONTH(NOTAS_80[[#This Row],[DATA DE LIQUIDAÇÃO]],0)</f>
        <v>41182</v>
      </c>
      <c r="M14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14" s="106">
        <f>[QTDE]*[PREÇO]</f>
        <v>408</v>
      </c>
      <c r="O14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-408</v>
      </c>
      <c r="P14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7.0000000000000007E-2</v>
      </c>
      <c r="Q14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0.04</v>
      </c>
      <c r="R14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0.06</v>
      </c>
      <c r="S14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8.16</v>
      </c>
      <c r="T14" s="106">
        <f>TRUNC([CORR BOV] * 20% * IF([PARCIAL] &gt; 0, [QTDE] / [PARCIAL], 1),2)</f>
        <v>1.63</v>
      </c>
      <c r="U14" s="106">
        <f>SUMPRODUCT(N([DATA]=NOTAS_80[[#This Row],[DATA]]),N([ID]&lt;=NOTAS_80[[#This Row],[ID]]), [CORR])</f>
        <v>1.63</v>
      </c>
      <c r="V14" s="106">
        <f>TRUNC([CORRETAGEM]*SETUP!$F$3,2)</f>
        <v>0.03</v>
      </c>
      <c r="W14" s="106">
        <f>ROUND([CORRETAGEM]*SETUP!$G$3,2)</f>
        <v>0.06</v>
      </c>
      <c r="X14" s="106">
        <f>[VALOR LÍQUIDO DAS OPERAÇÕES]-[TAXA DE LIQUIDAÇÃO]-[EMOLUMENTOS]-[TAXA DE REGISTRO]-[CORRETAGEM]-[ISS]-IF(['[D/N']]="D",    0,    [OUTRAS BOVESPA]) - [AJUSTE]</f>
        <v>-409.83</v>
      </c>
      <c r="Y14" s="106">
        <f>IF(AND(['[D/N']]="D",    [T]="CV",    [LÍQUIDO BASE] &gt; 0),    TRUNC([LÍQUIDO BASE]*0.01, 2),    0)</f>
        <v>0</v>
      </c>
      <c r="Z14" s="23">
        <f>IF([PREÇO] &gt; 0,    [LÍQUIDO BASE]-SUMPRODUCT(N([DATA]=NOTAS_80[[#This Row],[DATA]]),    [IRRF FONTE]),    0)</f>
        <v>-409.83</v>
      </c>
      <c r="AA14" s="110">
        <f>[LÍQUIDO]-SUMPRODUCT(N([DATA]=NOTAS_80[[#This Row],[DATA]]),N([ID]=(NOTAS_80[[#This Row],[ID]]-1)),[LÍQUIDO])</f>
        <v>-409.83</v>
      </c>
      <c r="AB14" s="106">
        <f>IF([T] = "VC", ABS([VALOR OP]) / [QTDE], [VALOR OP]/[QTDE])</f>
        <v>-0.51228750000000001</v>
      </c>
      <c r="AC14" s="106">
        <f>TRUNC(IF(OR([T]="CV",[T]="VV"),     N14*SETUP!$H$3,     0),2)</f>
        <v>0</v>
      </c>
      <c r="AD14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14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0.51228750000000001</v>
      </c>
      <c r="AF14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14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14" s="106">
        <f>IF([LUCRO TMP] &lt;&gt; 0, [LUCRO TMP] - SUMPRODUCT(N([ATIVO]=NOTAS_80[[#This Row],[ATIVO]]),N(['[D/N']]="N"),N([ID]&lt;NOTAS_80[[#This Row],[ID]]),N([PAR]=NOTAS_80[[#This Row],[PAR]]), [LUCRO TMP]), 0)</f>
        <v>0</v>
      </c>
      <c r="AI14" s="106">
        <f>IF([U] = "U", SUMPRODUCT(N([ID]&lt;=NOTAS_80[[#This Row],[ID]]),N([DATA BASE]=NOTAS_80[[#This Row],[DATA BASE]]), N(['[D/N']] = "N"),    [LUCRO P/ OP]), 0)</f>
        <v>0</v>
      </c>
      <c r="AJ14" s="106">
        <f>IF([U] = "U", SUMPRODUCT(N([DATA BASE]=NOTAS_80[[#This Row],[DATA BASE]]), N(['[D/N']] = "D"),    [LUCRO P/ OP]), 0)</f>
        <v>0</v>
      </c>
      <c r="AK14" s="106">
        <f>IF([U] = "U", SUMPRODUCT(N([DATA BASE]=NOTAS_80[[#This Row],[DATA BASE]]), N(['[D/N']] = "D"),    [IRRF FONTE]), 0)</f>
        <v>0</v>
      </c>
    </row>
    <row r="15" spans="1:37">
      <c r="A15" s="13">
        <v>14</v>
      </c>
      <c r="B15" s="114"/>
      <c r="C15" s="107" t="s">
        <v>156</v>
      </c>
      <c r="D15" s="114" t="s">
        <v>25</v>
      </c>
      <c r="E15" s="115">
        <v>41162</v>
      </c>
      <c r="F15" s="114">
        <v>800</v>
      </c>
      <c r="G15" s="116">
        <v>0.46</v>
      </c>
      <c r="H15" s="128"/>
      <c r="I15" s="129">
        <v>-0.7</v>
      </c>
      <c r="J15" s="114" t="s">
        <v>14</v>
      </c>
      <c r="K15" s="115">
        <f>WORKDAY(NOTAS_80[[#This Row],[DATA]],1,0)</f>
        <v>41163</v>
      </c>
      <c r="L15" s="117">
        <f>EOMONTH(NOTAS_80[[#This Row],[DATA DE LIQUIDAÇÃO]],0)</f>
        <v>41182</v>
      </c>
      <c r="M15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15" s="116">
        <f>[QTDE]*[PREÇO]</f>
        <v>368</v>
      </c>
      <c r="O15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-40</v>
      </c>
      <c r="P15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0.13</v>
      </c>
      <c r="Q15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0.09</v>
      </c>
      <c r="R15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0.11</v>
      </c>
      <c r="S15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7.36</v>
      </c>
      <c r="T15" s="116">
        <f>TRUNC([CORR BOV] * 20% * IF([PARCIAL] &gt; 0, [QTDE] / [PARCIAL], 1),2)</f>
        <v>1.47</v>
      </c>
      <c r="U15" s="116">
        <f>SUMPRODUCT(N([DATA]=NOTAS_80[[#This Row],[DATA]]),N([ID]&lt;=NOTAS_80[[#This Row],[ID]]), [CORR])</f>
        <v>3.0999999999999996</v>
      </c>
      <c r="V15" s="116">
        <f>TRUNC([CORRETAGEM]*SETUP!$F$3,2)</f>
        <v>0.06</v>
      </c>
      <c r="W15" s="116">
        <f>ROUND([CORRETAGEM]*SETUP!$G$3,2)</f>
        <v>0.12</v>
      </c>
      <c r="X15" s="116">
        <f>[VALOR LÍQUIDO DAS OPERAÇÕES]-[TAXA DE LIQUIDAÇÃO]-[EMOLUMENTOS]-[TAXA DE REGISTRO]-[CORRETAGEM]-[ISS]-IF(['[D/N']]="D",    0,    [OUTRAS BOVESPA]) - [AJUSTE]</f>
        <v>-42.790000000000006</v>
      </c>
      <c r="Y15" s="116">
        <f>IF(AND(['[D/N']]="D",    [T]="CV",    [LÍQUIDO BASE] &gt; 0),    TRUNC([LÍQUIDO BASE]*0.01, 2),    0)</f>
        <v>0</v>
      </c>
      <c r="Z15" s="63">
        <f>IF([PREÇO] &gt; 0,    [LÍQUIDO BASE]-SUMPRODUCT(N([DATA]=NOTAS_80[[#This Row],[DATA]]),    [IRRF FONTE]),    0)</f>
        <v>-42.790000000000006</v>
      </c>
      <c r="AA15" s="118">
        <f>[LÍQUIDO]-SUMPRODUCT(N([DATA]=NOTAS_80[[#This Row],[DATA]]),N([ID]=(NOTAS_80[[#This Row],[ID]]-1)),[LÍQUIDO])</f>
        <v>367.03999999999996</v>
      </c>
      <c r="AB15" s="116">
        <f>IF([T] = "VC", ABS([VALOR OP]) / [QTDE], [VALOR OP]/[QTDE])</f>
        <v>0.45879999999999993</v>
      </c>
      <c r="AC15" s="116">
        <f>TRUNC(IF(OR([T]="CV",[T]="VV"),     N15*SETUP!$H$3,     0),2)</f>
        <v>0.01</v>
      </c>
      <c r="AD15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15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0.51228750000000001</v>
      </c>
      <c r="AF15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0.45879999999999993</v>
      </c>
      <c r="AG15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-42.790000000000063</v>
      </c>
      <c r="AH15" s="116">
        <f>IF([LUCRO TMP] &lt;&gt; 0, [LUCRO TMP] - SUMPRODUCT(N([ATIVO]=NOTAS_80[[#This Row],[ATIVO]]),N(['[D/N']]="N"),N([ID]&lt;NOTAS_80[[#This Row],[ID]]),N([PAR]=NOTAS_80[[#This Row],[PAR]]), [LUCRO TMP]), 0)</f>
        <v>-42.790000000000063</v>
      </c>
      <c r="AI15" s="116">
        <f>IF([U] = "U", SUMPRODUCT(N([ID]&lt;=NOTAS_80[[#This Row],[ID]]),N([DATA BASE]=NOTAS_80[[#This Row],[DATA BASE]]), N(['[D/N']] = "N"),    [LUCRO P/ OP]), 0)</f>
        <v>0</v>
      </c>
      <c r="AJ15" s="116">
        <f>IF([U] = "U", SUMPRODUCT(N([DATA BASE]=NOTAS_80[[#This Row],[DATA BASE]]), N(['[D/N']] = "D"),    [LUCRO P/ OP]), 0)</f>
        <v>0</v>
      </c>
      <c r="AK15" s="116">
        <f>IF([U] = "U", SUMPRODUCT(N([DATA BASE]=NOTAS_80[[#This Row],[DATA BASE]]), N(['[D/N']] = "D"),    [IRRF FONTE]), 0)</f>
        <v>0</v>
      </c>
    </row>
    <row r="16" spans="1:37">
      <c r="A16" s="13">
        <v>15</v>
      </c>
      <c r="B16" s="107"/>
      <c r="C16" s="114" t="s">
        <v>152</v>
      </c>
      <c r="D16" s="85" t="s">
        <v>25</v>
      </c>
      <c r="E16" s="86">
        <v>41162</v>
      </c>
      <c r="F16" s="85">
        <v>300</v>
      </c>
      <c r="G16" s="87">
        <v>1.44</v>
      </c>
      <c r="H16" s="96"/>
      <c r="I16" s="97"/>
      <c r="J16" s="85" t="s">
        <v>6</v>
      </c>
      <c r="K16" s="115">
        <f>WORKDAY(NOTAS_80[[#This Row],[DATA]],1,0)</f>
        <v>41163</v>
      </c>
      <c r="L16" s="117">
        <f>EOMONTH(NOTAS_80[[#This Row],[DATA DE LIQUIDAÇÃO]],0)</f>
        <v>41182</v>
      </c>
      <c r="M16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16" s="116">
        <f>[QTDE]*[PREÇO]</f>
        <v>432</v>
      </c>
      <c r="O16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392</v>
      </c>
      <c r="P16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0.25</v>
      </c>
      <c r="Q16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0.25</v>
      </c>
      <c r="R16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0.41</v>
      </c>
      <c r="S16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8.64</v>
      </c>
      <c r="T16" s="116">
        <f>TRUNC([CORR BOV] * 20% * IF([PARCIAL] &gt; 0, [QTDE] / [PARCIAL], 1),2)</f>
        <v>1.72</v>
      </c>
      <c r="U16" s="116">
        <f>SUMPRODUCT(N([DATA]=NOTAS_80[[#This Row],[DATA]]),N([ID]&lt;=NOTAS_80[[#This Row],[ID]]), [CORR])</f>
        <v>4.8199999999999994</v>
      </c>
      <c r="V16" s="116">
        <f>TRUNC([CORRETAGEM]*SETUP!$F$3,2)</f>
        <v>0.09</v>
      </c>
      <c r="W16" s="116">
        <f>ROUND([CORRETAGEM]*SETUP!$G$3,2)</f>
        <v>0.19</v>
      </c>
      <c r="X16" s="116">
        <f>[VALOR LÍQUIDO DAS OPERAÇÕES]-[TAXA DE LIQUIDAÇÃO]-[EMOLUMENTOS]-[TAXA DE REGISTRO]-[CORRETAGEM]-[ISS]-IF(['[D/N']]="D",    0,    [OUTRAS BOVESPA]) - [AJUSTE]</f>
        <v>385.99</v>
      </c>
      <c r="Y16" s="116">
        <f>IF(AND(['[D/N']]="D",    [T]="CV",    [LÍQUIDO BASE] &gt; 0),    TRUNC([LÍQUIDO BASE]*0.01, 2),    0)</f>
        <v>0</v>
      </c>
      <c r="Z16" s="63">
        <f>IF([PREÇO] &gt; 0,    [LÍQUIDO BASE]-SUMPRODUCT(N([DATA]=NOTAS_80[[#This Row],[DATA]]),    [IRRF FONTE]),    0)</f>
        <v>385.99</v>
      </c>
      <c r="AA16" s="118">
        <f>[LÍQUIDO]-SUMPRODUCT(N([DATA]=NOTAS_80[[#This Row],[DATA]]),N([ID]=(NOTAS_80[[#This Row],[ID]]-1)),[LÍQUIDO])</f>
        <v>428.78000000000003</v>
      </c>
      <c r="AB16" s="116">
        <f>IF([T] = "VC", ABS([VALOR OP]) / [QTDE], [VALOR OP]/[QTDE])</f>
        <v>1.4292666666666667</v>
      </c>
      <c r="AC16" s="116">
        <f>TRUNC(IF(OR([T]="CV",[T]="VV"),     N16*SETUP!$H$3,     0),2)</f>
        <v>0.02</v>
      </c>
      <c r="AD16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16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0.9165000000000002</v>
      </c>
      <c r="AF16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1.4292666666666667</v>
      </c>
      <c r="AG16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153.82999999999996</v>
      </c>
      <c r="AH16" s="116">
        <f>IF([LUCRO TMP] &lt;&gt; 0, [LUCRO TMP] - SUMPRODUCT(N([ATIVO]=NOTAS_80[[#This Row],[ATIVO]]),N(['[D/N']]="N"),N([ID]&lt;NOTAS_80[[#This Row],[ID]]),N([PAR]=NOTAS_80[[#This Row],[PAR]]), [LUCRO TMP]), 0)</f>
        <v>153.82999999999996</v>
      </c>
      <c r="AI16" s="116">
        <f>IF([U] = "U", SUMPRODUCT(N([ID]&lt;=NOTAS_80[[#This Row],[ID]]),N([DATA BASE]=NOTAS_80[[#This Row],[DATA BASE]]), N(['[D/N']] = "N"),    [LUCRO P/ OP]), 0)</f>
        <v>0</v>
      </c>
      <c r="AJ16" s="116">
        <f>IF([U] = "U", SUMPRODUCT(N([DATA BASE]=NOTAS_80[[#This Row],[DATA BASE]]), N(['[D/N']] = "D"),    [LUCRO P/ OP]), 0)</f>
        <v>0</v>
      </c>
      <c r="AK16" s="116">
        <f>IF([U] = "U", SUMPRODUCT(N([DATA BASE]=NOTAS_80[[#This Row],[DATA BASE]]), N(['[D/N']] = "D"),    [IRRF FONTE]), 0)</f>
        <v>0</v>
      </c>
    </row>
    <row r="17" spans="1:37">
      <c r="A17" s="13">
        <v>16</v>
      </c>
      <c r="B17" s="114"/>
      <c r="C17" s="107" t="s">
        <v>155</v>
      </c>
      <c r="D17" s="114" t="s">
        <v>25</v>
      </c>
      <c r="E17" s="115">
        <v>41162</v>
      </c>
      <c r="F17" s="114">
        <v>1400</v>
      </c>
      <c r="G17" s="116">
        <v>0.43</v>
      </c>
      <c r="H17" s="128"/>
      <c r="I17" s="129">
        <v>4.3899999999999997</v>
      </c>
      <c r="J17" s="114" t="s">
        <v>6</v>
      </c>
      <c r="K17" s="115">
        <f>WORKDAY(NOTAS_80[[#This Row],[DATA]],1,0)</f>
        <v>41163</v>
      </c>
      <c r="L17" s="117">
        <f>EOMONTH(NOTAS_80[[#This Row],[DATA DE LIQUIDAÇÃO]],0)</f>
        <v>41182</v>
      </c>
      <c r="M17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17" s="116">
        <f>[QTDE]*[PREÇO]</f>
        <v>602</v>
      </c>
      <c r="O17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994</v>
      </c>
      <c r="P17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0.42</v>
      </c>
      <c r="Q17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0.47</v>
      </c>
      <c r="R17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0.83</v>
      </c>
      <c r="S17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11.52</v>
      </c>
      <c r="T17" s="116">
        <f>TRUNC([CORR BOV] * 20% * IF([PARCIAL] &gt; 0, [QTDE] / [PARCIAL], 1),2)</f>
        <v>2.2999999999999998</v>
      </c>
      <c r="U17" s="116">
        <f>SUMPRODUCT(N([DATA]=NOTAS_80[[#This Row],[DATA]]),N([ID]&lt;=NOTAS_80[[#This Row],[ID]]), [CORR])</f>
        <v>7.1199999999999992</v>
      </c>
      <c r="V17" s="116">
        <f>TRUNC([CORRETAGEM]*SETUP!$F$3,2)</f>
        <v>0.14000000000000001</v>
      </c>
      <c r="W17" s="116">
        <f>ROUND([CORRETAGEM]*SETUP!$G$3,2)</f>
        <v>0.28000000000000003</v>
      </c>
      <c r="X17" s="116">
        <f>[VALOR LÍQUIDO DAS OPERAÇÕES]-[TAXA DE LIQUIDAÇÃO]-[EMOLUMENTOS]-[TAXA DE REGISTRO]-[CORRETAGEM]-[ISS]-IF(['[D/N']]="D",    0,    [OUTRAS BOVESPA]) - [AJUSTE]</f>
        <v>980.35</v>
      </c>
      <c r="Y17" s="116">
        <f>IF(AND(['[D/N']]="D",    [T]="CV",    [LÍQUIDO BASE] &gt; 0),    TRUNC([LÍQUIDO BASE]*0.01, 2),    0)</f>
        <v>0</v>
      </c>
      <c r="Z17" s="63">
        <f>IF([PREÇO] &gt; 0,    [LÍQUIDO BASE]-SUMPRODUCT(N([DATA]=NOTAS_80[[#This Row],[DATA]]),    [IRRF FONTE]),    0)</f>
        <v>980.35</v>
      </c>
      <c r="AA17" s="118">
        <f>[LÍQUIDO]-SUMPRODUCT(N([DATA]=NOTAS_80[[#This Row],[DATA]]),N([ID]=(NOTAS_80[[#This Row],[ID]]-1)),[LÍQUIDO])</f>
        <v>594.36</v>
      </c>
      <c r="AB17" s="116">
        <f>IF([T] = "VC", ABS([VALOR OP]) / [QTDE], [VALOR OP]/[QTDE])</f>
        <v>0.42454285714285717</v>
      </c>
      <c r="AC17" s="116">
        <f>TRUNC(IF(OR([T]="CV",[T]="VV"),     N17*SETUP!$H$3,     0),2)</f>
        <v>0.03</v>
      </c>
      <c r="AD17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17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0.30136428571428558</v>
      </c>
      <c r="AF17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0.42454285714285717</v>
      </c>
      <c r="AG17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172.45000000000022</v>
      </c>
      <c r="AH17" s="116">
        <f>IF([LUCRO TMP] &lt;&gt; 0, [LUCRO TMP] - SUMPRODUCT(N([ATIVO]=NOTAS_80[[#This Row],[ATIVO]]),N(['[D/N']]="N"),N([ID]&lt;NOTAS_80[[#This Row],[ID]]),N([PAR]=NOTAS_80[[#This Row],[PAR]]), [LUCRO TMP]), 0)</f>
        <v>172.45000000000022</v>
      </c>
      <c r="AI17" s="116">
        <f>IF([U] = "U", SUMPRODUCT(N([ID]&lt;=NOTAS_80[[#This Row],[ID]]),N([DATA BASE]=NOTAS_80[[#This Row],[DATA BASE]]), N(['[D/N']] = "N"),    [LUCRO P/ OP]), 0)</f>
        <v>0</v>
      </c>
      <c r="AJ17" s="116">
        <f>IF([U] = "U", SUMPRODUCT(N([DATA BASE]=NOTAS_80[[#This Row],[DATA BASE]]), N(['[D/N']] = "D"),    [LUCRO P/ OP]), 0)</f>
        <v>0</v>
      </c>
      <c r="AK17" s="116">
        <f>IF([U] = "U", SUMPRODUCT(N([DATA BASE]=NOTAS_80[[#This Row],[DATA BASE]]), N(['[D/N']] = "D"),    [IRRF FONTE]), 0)</f>
        <v>0</v>
      </c>
    </row>
    <row r="18" spans="1:37">
      <c r="A18" s="13">
        <v>17</v>
      </c>
      <c r="B18" s="107"/>
      <c r="C18" s="107" t="s">
        <v>157</v>
      </c>
      <c r="D18" s="107" t="s">
        <v>24</v>
      </c>
      <c r="E18" s="108">
        <v>41163</v>
      </c>
      <c r="F18" s="107">
        <v>600</v>
      </c>
      <c r="G18" s="106">
        <v>0.81</v>
      </c>
      <c r="H18" s="105"/>
      <c r="I18" s="127"/>
      <c r="J18" s="107" t="s">
        <v>6</v>
      </c>
      <c r="K18" s="108">
        <f>WORKDAY(NOTAS_80[[#This Row],[DATA]],1,0)</f>
        <v>41164</v>
      </c>
      <c r="L18" s="109">
        <f>EOMONTH(NOTAS_80[[#This Row],[DATA DE LIQUIDAÇÃO]],0)</f>
        <v>41182</v>
      </c>
      <c r="M18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18" s="106">
        <f>[QTDE]*[PREÇO]</f>
        <v>486.00000000000006</v>
      </c>
      <c r="O18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-486.00000000000006</v>
      </c>
      <c r="P18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0.13</v>
      </c>
      <c r="Q18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0.17</v>
      </c>
      <c r="R18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0.33</v>
      </c>
      <c r="S18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9.7200000000000006</v>
      </c>
      <c r="T18" s="106">
        <f>TRUNC([CORR BOV] * 20% * IF([PARCIAL] &gt; 0, [QTDE] / [PARCIAL], 1),2)</f>
        <v>1.94</v>
      </c>
      <c r="U18" s="106">
        <f>SUMPRODUCT(N([DATA]=NOTAS_80[[#This Row],[DATA]]),N([ID]&lt;=NOTAS_80[[#This Row],[ID]]), [CORR])</f>
        <v>1.94</v>
      </c>
      <c r="V18" s="106">
        <f>TRUNC([CORRETAGEM]*SETUP!$F$3,2)</f>
        <v>0.03</v>
      </c>
      <c r="W18" s="106">
        <f>ROUND([CORRETAGEM]*SETUP!$G$3,2)</f>
        <v>0.08</v>
      </c>
      <c r="X18" s="106">
        <f>[VALOR LÍQUIDO DAS OPERAÇÕES]-[TAXA DE LIQUIDAÇÃO]-[EMOLUMENTOS]-[TAXA DE REGISTRO]-[CORRETAGEM]-[ISS]-IF(['[D/N']]="D",    0,    [OUTRAS BOVESPA]) - [AJUSTE]</f>
        <v>-488.68</v>
      </c>
      <c r="Y18" s="106">
        <f>IF(AND(['[D/N']]="D",    [T]="CV",    [LÍQUIDO BASE] &gt; 0),    TRUNC([LÍQUIDO BASE]*0.01, 2),    0)</f>
        <v>0</v>
      </c>
      <c r="Z18" s="23">
        <f>IF([PREÇO] &gt; 0,    [LÍQUIDO BASE]-SUMPRODUCT(N([DATA]=NOTAS_80[[#This Row],[DATA]]),    [IRRF FONTE]),    0)</f>
        <v>-488.68</v>
      </c>
      <c r="AA18" s="110">
        <f>[LÍQUIDO]-SUMPRODUCT(N([DATA]=NOTAS_80[[#This Row],[DATA]]),N([ID]=(NOTAS_80[[#This Row],[ID]]-1)),[LÍQUIDO])</f>
        <v>-488.68</v>
      </c>
      <c r="AB18" s="106">
        <f>IF([T] = "VC", ABS([VALOR OP]) / [QTDE], [VALOR OP]/[QTDE])</f>
        <v>-0.81446666666666667</v>
      </c>
      <c r="AC18" s="106">
        <f>TRUNC(IF(OR([T]="CV",[T]="VV"),     N18*SETUP!$H$3,     0),2)</f>
        <v>0</v>
      </c>
      <c r="AD18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600</v>
      </c>
      <c r="AE18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0.81446666666666667</v>
      </c>
      <c r="AF18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18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18" s="106">
        <f>IF([LUCRO TMP] &lt;&gt; 0, [LUCRO TMP] - SUMPRODUCT(N([ATIVO]=NOTAS_80[[#This Row],[ATIVO]]),N(['[D/N']]="N"),N([ID]&lt;NOTAS_80[[#This Row],[ID]]),N([PAR]=NOTAS_80[[#This Row],[PAR]]), [LUCRO TMP]), 0)</f>
        <v>0</v>
      </c>
      <c r="AI18" s="106">
        <f>IF([U] = "U", SUMPRODUCT(N([ID]&lt;=NOTAS_80[[#This Row],[ID]]),N([DATA BASE]=NOTAS_80[[#This Row],[DATA BASE]]), N(['[D/N']] = "N"),    [LUCRO P/ OP]), 0)</f>
        <v>0</v>
      </c>
      <c r="AJ18" s="106">
        <f>IF([U] = "U", SUMPRODUCT(N([DATA BASE]=NOTAS_80[[#This Row],[DATA BASE]]), N(['[D/N']] = "D"),    [LUCRO P/ OP]), 0)</f>
        <v>0</v>
      </c>
      <c r="AK18" s="106">
        <f>IF([U] = "U", SUMPRODUCT(N([DATA BASE]=NOTAS_80[[#This Row],[DATA BASE]]), N(['[D/N']] = "D"),    [IRRF FONTE]), 0)</f>
        <v>0</v>
      </c>
    </row>
    <row r="19" spans="1:37">
      <c r="A19" s="13">
        <v>18</v>
      </c>
      <c r="B19" s="107"/>
      <c r="C19" s="107" t="s">
        <v>143</v>
      </c>
      <c r="D19" s="107" t="s">
        <v>24</v>
      </c>
      <c r="E19" s="108">
        <v>41163</v>
      </c>
      <c r="F19" s="107">
        <v>2800</v>
      </c>
      <c r="G19" s="106">
        <v>0.17</v>
      </c>
      <c r="H19" s="105"/>
      <c r="I19" s="127">
        <v>-0.48</v>
      </c>
      <c r="J19" s="107" t="s">
        <v>6</v>
      </c>
      <c r="K19" s="108">
        <f>WORKDAY(NOTAS_80[[#This Row],[DATA]],1,0)</f>
        <v>41164</v>
      </c>
      <c r="L19" s="109">
        <f>EOMONTH(NOTAS_80[[#This Row],[DATA DE LIQUIDAÇÃO]],0)</f>
        <v>41182</v>
      </c>
      <c r="M19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5</v>
      </c>
      <c r="N19" s="106">
        <f>[QTDE]*[PREÇO]</f>
        <v>476.00000000000006</v>
      </c>
      <c r="O19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-962.00000000000011</v>
      </c>
      <c r="P19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0.26</v>
      </c>
      <c r="Q19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0.35</v>
      </c>
      <c r="R19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0.66</v>
      </c>
      <c r="S19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9.5200000000000014</v>
      </c>
      <c r="T19" s="106">
        <f>TRUNC([CORR BOV] * 20% * IF([PARCIAL] &gt; 0, [QTDE] / [PARCIAL], 1),2)</f>
        <v>1.9</v>
      </c>
      <c r="U19" s="106">
        <f>SUMPRODUCT(N([DATA]=NOTAS_80[[#This Row],[DATA]]),N([ID]&lt;=NOTAS_80[[#This Row],[ID]]), [CORR])</f>
        <v>3.84</v>
      </c>
      <c r="V19" s="106">
        <f>TRUNC([CORRETAGEM]*SETUP!$F$3,2)</f>
        <v>7.0000000000000007E-2</v>
      </c>
      <c r="W19" s="106">
        <f>ROUND([CORRETAGEM]*SETUP!$G$3,2)</f>
        <v>0.15</v>
      </c>
      <c r="X19" s="106">
        <f>[VALOR LÍQUIDO DAS OPERAÇÕES]-[TAXA DE LIQUIDAÇÃO]-[EMOLUMENTOS]-[TAXA DE REGISTRO]-[CORRETAGEM]-[ISS]-IF(['[D/N']]="D",    0,    [OUTRAS BOVESPA]) - [AJUSTE]</f>
        <v>-966.85000000000014</v>
      </c>
      <c r="Y19" s="106">
        <f>IF(AND(['[D/N']]="D",    [T]="CV",    [LÍQUIDO BASE] &gt; 0),    TRUNC([LÍQUIDO BASE]*0.01, 2),    0)</f>
        <v>0</v>
      </c>
      <c r="Z19" s="23">
        <f>IF([PREÇO] &gt; 0,    [LÍQUIDO BASE]-SUMPRODUCT(N([DATA]=NOTAS_80[[#This Row],[DATA]]),    [IRRF FONTE]),    0)</f>
        <v>-966.85000000000014</v>
      </c>
      <c r="AA19" s="110">
        <f>[LÍQUIDO]-SUMPRODUCT(N([DATA]=NOTAS_80[[#This Row],[DATA]]),N([ID]=(NOTAS_80[[#This Row],[ID]]-1)),[LÍQUIDO])</f>
        <v>-478.17000000000013</v>
      </c>
      <c r="AB19" s="106">
        <f>IF([T] = "VC", ABS([VALOR OP]) / [QTDE], [VALOR OP]/[QTDE])</f>
        <v>-0.17077500000000004</v>
      </c>
      <c r="AC19" s="106">
        <f>TRUNC(IF(OR([T]="CV",[T]="VV"),     N19*SETUP!$H$3,     0),2)</f>
        <v>0</v>
      </c>
      <c r="AD19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2800</v>
      </c>
      <c r="AE19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0.17077500000000004</v>
      </c>
      <c r="AF19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19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19" s="106">
        <f>IF([LUCRO TMP] &lt;&gt; 0, [LUCRO TMP] - SUMPRODUCT(N([ATIVO]=NOTAS_80[[#This Row],[ATIVO]]),N(['[D/N']]="N"),N([ID]&lt;NOTAS_80[[#This Row],[ID]]),N([PAR]=NOTAS_80[[#This Row],[PAR]]), [LUCRO TMP]), 0)</f>
        <v>0</v>
      </c>
      <c r="AI19" s="106">
        <f>IF([U] = "U", SUMPRODUCT(N([ID]&lt;=NOTAS_80[[#This Row],[ID]]),N([DATA BASE]=NOTAS_80[[#This Row],[DATA BASE]]), N(['[D/N']] = "N"),    [LUCRO P/ OP]), 0)</f>
        <v>0</v>
      </c>
      <c r="AJ19" s="106">
        <f>IF([U] = "U", SUMPRODUCT(N([DATA BASE]=NOTAS_80[[#This Row],[DATA BASE]]), N(['[D/N']] = "D"),    [LUCRO P/ OP]), 0)</f>
        <v>0</v>
      </c>
      <c r="AK19" s="106">
        <f>IF([U] = "U", SUMPRODUCT(N([DATA BASE]=NOTAS_80[[#This Row],[DATA BASE]]), N(['[D/N']] = "D"),    [IRRF FONTE]), 0)</f>
        <v>0</v>
      </c>
    </row>
    <row r="20" spans="1:37">
      <c r="A20" s="13">
        <v>19</v>
      </c>
      <c r="B20" s="114"/>
      <c r="C20" s="107" t="s">
        <v>157</v>
      </c>
      <c r="D20" s="114" t="s">
        <v>25</v>
      </c>
      <c r="E20" s="115">
        <v>41164</v>
      </c>
      <c r="F20" s="114">
        <v>600</v>
      </c>
      <c r="G20" s="116">
        <v>1</v>
      </c>
      <c r="H20" s="128"/>
      <c r="I20" s="129"/>
      <c r="J20" s="114" t="s">
        <v>6</v>
      </c>
      <c r="K20" s="115">
        <f>WORKDAY(NOTAS_80[[#This Row],[DATA]],1,0)</f>
        <v>41165</v>
      </c>
      <c r="L20" s="117">
        <f>EOMONTH(NOTAS_80[[#This Row],[DATA DE LIQUIDAÇÃO]],0)</f>
        <v>41182</v>
      </c>
      <c r="M20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20" s="116">
        <f>[QTDE]*[PREÇO]</f>
        <v>600</v>
      </c>
      <c r="O20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600</v>
      </c>
      <c r="P20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0.16</v>
      </c>
      <c r="Q20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0.22</v>
      </c>
      <c r="R20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0.41</v>
      </c>
      <c r="S20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11.49</v>
      </c>
      <c r="T20" s="116">
        <f>TRUNC([CORR BOV] * 20% * IF([PARCIAL] &gt; 0, [QTDE] / [PARCIAL], 1),2)</f>
        <v>2.29</v>
      </c>
      <c r="U20" s="116">
        <f>SUMPRODUCT(N([DATA]=NOTAS_80[[#This Row],[DATA]]),N([ID]&lt;=NOTAS_80[[#This Row],[ID]]), [CORR])</f>
        <v>2.29</v>
      </c>
      <c r="V20" s="116">
        <f>TRUNC([CORRETAGEM]*SETUP!$F$3,2)</f>
        <v>0.04</v>
      </c>
      <c r="W20" s="116">
        <f>ROUND([CORRETAGEM]*SETUP!$G$3,2)</f>
        <v>0.09</v>
      </c>
      <c r="X20" s="116">
        <f>[VALOR LÍQUIDO DAS OPERAÇÕES]-[TAXA DE LIQUIDAÇÃO]-[EMOLUMENTOS]-[TAXA DE REGISTRO]-[CORRETAGEM]-[ISS]-IF(['[D/N']]="D",    0,    [OUTRAS BOVESPA]) - [AJUSTE]</f>
        <v>596.79000000000008</v>
      </c>
      <c r="Y20" s="116">
        <f>IF(AND(['[D/N']]="D",    [T]="CV",    [LÍQUIDO BASE] &gt; 0),    TRUNC([LÍQUIDO BASE]*0.01, 2),    0)</f>
        <v>0</v>
      </c>
      <c r="Z20" s="63">
        <f>IF([PREÇO] &gt; 0,    [LÍQUIDO BASE]-SUMPRODUCT(N([DATA]=NOTAS_80[[#This Row],[DATA]]),    [IRRF FONTE]),    0)</f>
        <v>596.79000000000008</v>
      </c>
      <c r="AA20" s="118">
        <f>[LÍQUIDO]-SUMPRODUCT(N([DATA]=NOTAS_80[[#This Row],[DATA]]),N([ID]=(NOTAS_80[[#This Row],[ID]]-1)),[LÍQUIDO])</f>
        <v>596.79000000000008</v>
      </c>
      <c r="AB20" s="116">
        <f>IF([T] = "VC", ABS([VALOR OP]) / [QTDE], [VALOR OP]/[QTDE])</f>
        <v>0.99465000000000015</v>
      </c>
      <c r="AC20" s="116">
        <f>TRUNC(IF(OR([T]="CV",[T]="VV"),     N20*SETUP!$H$3,     0),2)</f>
        <v>0.03</v>
      </c>
      <c r="AD20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20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0.81446666666666667</v>
      </c>
      <c r="AF20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0.99465000000000015</v>
      </c>
      <c r="AG20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108.11000000000008</v>
      </c>
      <c r="AH20" s="116">
        <f>IF([LUCRO TMP] &lt;&gt; 0, [LUCRO TMP] - SUMPRODUCT(N([ATIVO]=NOTAS_80[[#This Row],[ATIVO]]),N(['[D/N']]="N"),N([ID]&lt;NOTAS_80[[#This Row],[ID]]),N([PAR]=NOTAS_80[[#This Row],[PAR]]), [LUCRO TMP]), 0)</f>
        <v>108.11000000000008</v>
      </c>
      <c r="AI20" s="116">
        <f>IF([U] = "U", SUMPRODUCT(N([ID]&lt;=NOTAS_80[[#This Row],[ID]]),N([DATA BASE]=NOTAS_80[[#This Row],[DATA BASE]]), N(['[D/N']] = "N"),    [LUCRO P/ OP]), 0)</f>
        <v>0</v>
      </c>
      <c r="AJ20" s="116">
        <f>IF([U] = "U", SUMPRODUCT(N([DATA BASE]=NOTAS_80[[#This Row],[DATA BASE]]), N(['[D/N']] = "D"),    [LUCRO P/ OP]), 0)</f>
        <v>0</v>
      </c>
      <c r="AK20" s="116">
        <f>IF([U] = "U", SUMPRODUCT(N([DATA BASE]=NOTAS_80[[#This Row],[DATA BASE]]), N(['[D/N']] = "D"),    [IRRF FONTE]), 0)</f>
        <v>0</v>
      </c>
    </row>
    <row r="21" spans="1:37">
      <c r="A21" s="13">
        <v>20</v>
      </c>
      <c r="B21" s="114"/>
      <c r="C21" s="107" t="s">
        <v>143</v>
      </c>
      <c r="D21" s="114" t="s">
        <v>25</v>
      </c>
      <c r="E21" s="115">
        <v>41164</v>
      </c>
      <c r="F21" s="114">
        <v>2800</v>
      </c>
      <c r="G21" s="116">
        <v>0.27</v>
      </c>
      <c r="H21" s="128"/>
      <c r="I21" s="129">
        <v>-0.52</v>
      </c>
      <c r="J21" s="114" t="s">
        <v>6</v>
      </c>
      <c r="K21" s="115">
        <f>WORKDAY(NOTAS_80[[#This Row],[DATA]],1,0)</f>
        <v>41165</v>
      </c>
      <c r="L21" s="117">
        <f>EOMONTH(NOTAS_80[[#This Row],[DATA DE LIQUIDAÇÃO]],0)</f>
        <v>41182</v>
      </c>
      <c r="M21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5</v>
      </c>
      <c r="N21" s="116">
        <f>[QTDE]*[PREÇO]</f>
        <v>756</v>
      </c>
      <c r="O21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1356</v>
      </c>
      <c r="P21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0.37</v>
      </c>
      <c r="Q21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0.5</v>
      </c>
      <c r="R21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0.94</v>
      </c>
      <c r="S21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13.83</v>
      </c>
      <c r="T21" s="116">
        <f>TRUNC([CORR BOV] * 20% * IF([PARCIAL] &gt; 0, [QTDE] / [PARCIAL], 1),2)</f>
        <v>2.76</v>
      </c>
      <c r="U21" s="116">
        <f>SUMPRODUCT(N([DATA]=NOTAS_80[[#This Row],[DATA]]),N([ID]&lt;=NOTAS_80[[#This Row],[ID]]), [CORR])</f>
        <v>5.05</v>
      </c>
      <c r="V21" s="116">
        <f>TRUNC([CORRETAGEM]*SETUP!$F$3,2)</f>
        <v>0.1</v>
      </c>
      <c r="W21" s="116">
        <f>ROUND([CORRETAGEM]*SETUP!$G$3,2)</f>
        <v>0.2</v>
      </c>
      <c r="X21" s="116">
        <f>[VALOR LÍQUIDO DAS OPERAÇÕES]-[TAXA DE LIQUIDAÇÃO]-[EMOLUMENTOS]-[TAXA DE REGISTRO]-[CORRETAGEM]-[ISS]-IF(['[D/N']]="D",    0,    [OUTRAS BOVESPA]) - [AJUSTE]</f>
        <v>1349.3600000000001</v>
      </c>
      <c r="Y21" s="116">
        <f>IF(AND(['[D/N']]="D",    [T]="CV",    [LÍQUIDO BASE] &gt; 0),    TRUNC([LÍQUIDO BASE]*0.01, 2),    0)</f>
        <v>0</v>
      </c>
      <c r="Z21" s="63">
        <f>IF([PREÇO] &gt; 0,    [LÍQUIDO BASE]-SUMPRODUCT(N([DATA]=NOTAS_80[[#This Row],[DATA]]),    [IRRF FONTE]),    0)</f>
        <v>1349.3600000000001</v>
      </c>
      <c r="AA21" s="118">
        <f>[LÍQUIDO]-SUMPRODUCT(N([DATA]=NOTAS_80[[#This Row],[DATA]]),N([ID]=(NOTAS_80[[#This Row],[ID]]-1)),[LÍQUIDO])</f>
        <v>752.57</v>
      </c>
      <c r="AB21" s="116">
        <f>IF([T] = "VC", ABS([VALOR OP]) / [QTDE], [VALOR OP]/[QTDE])</f>
        <v>0.26877500000000004</v>
      </c>
      <c r="AC21" s="116">
        <f>TRUNC(IF(OR([T]="CV",[T]="VV"),     N21*SETUP!$H$3,     0),2)</f>
        <v>0.03</v>
      </c>
      <c r="AD21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21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0.17077500000000004</v>
      </c>
      <c r="AF21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0.26877500000000004</v>
      </c>
      <c r="AG21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274.40000000000003</v>
      </c>
      <c r="AH21" s="116">
        <f>IF([LUCRO TMP] &lt;&gt; 0, [LUCRO TMP] - SUMPRODUCT(N([ATIVO]=NOTAS_80[[#This Row],[ATIVO]]),N(['[D/N']]="N"),N([ID]&lt;NOTAS_80[[#This Row],[ID]]),N([PAR]=NOTAS_80[[#This Row],[PAR]]), [LUCRO TMP]), 0)</f>
        <v>274.40000000000003</v>
      </c>
      <c r="AI21" s="116">
        <f>IF([U] = "U", SUMPRODUCT(N([ID]&lt;=NOTAS_80[[#This Row],[ID]]),N([DATA BASE]=NOTAS_80[[#This Row],[DATA BASE]]), N(['[D/N']] = "N"),    [LUCRO P/ OP]), 0)</f>
        <v>0</v>
      </c>
      <c r="AJ21" s="116">
        <f>IF([U] = "U", SUMPRODUCT(N([DATA BASE]=NOTAS_80[[#This Row],[DATA BASE]]), N(['[D/N']] = "D"),    [LUCRO P/ OP]), 0)</f>
        <v>0</v>
      </c>
      <c r="AK21" s="116">
        <f>IF([U] = "U", SUMPRODUCT(N([DATA BASE]=NOTAS_80[[#This Row],[DATA BASE]]), N(['[D/N']] = "D"),    [IRRF FONTE]), 0)</f>
        <v>0</v>
      </c>
    </row>
    <row r="22" spans="1:37">
      <c r="A22" s="13">
        <v>21</v>
      </c>
      <c r="B22" s="107"/>
      <c r="C22" s="107" t="s">
        <v>143</v>
      </c>
      <c r="D22" s="107" t="s">
        <v>24</v>
      </c>
      <c r="E22" s="108">
        <v>41165</v>
      </c>
      <c r="F22" s="107">
        <v>1400</v>
      </c>
      <c r="G22" s="106">
        <v>0.5</v>
      </c>
      <c r="H22" s="105"/>
      <c r="I22" s="127"/>
      <c r="J22" s="107" t="s">
        <v>14</v>
      </c>
      <c r="K22" s="108">
        <f>WORKDAY(NOTAS_80[[#This Row],[DATA]],1,0)</f>
        <v>41166</v>
      </c>
      <c r="L22" s="109">
        <f>EOMONTH(NOTAS_80[[#This Row],[DATA DE LIQUIDAÇÃO]],0)</f>
        <v>41182</v>
      </c>
      <c r="M22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6</v>
      </c>
      <c r="N22" s="106">
        <f>[QTDE]*[PREÇO]</f>
        <v>700</v>
      </c>
      <c r="O22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-700</v>
      </c>
      <c r="P22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0.12</v>
      </c>
      <c r="Q22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0.08</v>
      </c>
      <c r="R22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0.1</v>
      </c>
      <c r="S22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12.99</v>
      </c>
      <c r="T22" s="106">
        <f>TRUNC([CORR BOV] * 20% * IF([PARCIAL] &gt; 0, [QTDE] / [PARCIAL], 1),2)</f>
        <v>2.59</v>
      </c>
      <c r="U22" s="106">
        <f>SUMPRODUCT(N([DATA]=NOTAS_80[[#This Row],[DATA]]),N([ID]&lt;=NOTAS_80[[#This Row],[ID]]), [CORR])</f>
        <v>2.59</v>
      </c>
      <c r="V22" s="106">
        <f>TRUNC([CORRETAGEM]*SETUP!$F$3,2)</f>
        <v>0.05</v>
      </c>
      <c r="W22" s="106">
        <f>ROUND([CORRETAGEM]*SETUP!$G$3,2)</f>
        <v>0.1</v>
      </c>
      <c r="X22" s="106">
        <f>[VALOR LÍQUIDO DAS OPERAÇÕES]-[TAXA DE LIQUIDAÇÃO]-[EMOLUMENTOS]-[TAXA DE REGISTRO]-[CORRETAGEM]-[ISS]-IF(['[D/N']]="D",    0,    [OUTRAS BOVESPA]) - [AJUSTE]</f>
        <v>-702.94</v>
      </c>
      <c r="Y22" s="106">
        <f>IF(AND(['[D/N']]="D",    [T]="CV",    [LÍQUIDO BASE] &gt; 0),    TRUNC([LÍQUIDO BASE]*0.01, 2),    0)</f>
        <v>0</v>
      </c>
      <c r="Z22" s="23">
        <f>IF([PREÇO] &gt; 0,    [LÍQUIDO BASE]-SUMPRODUCT(N([DATA]=NOTAS_80[[#This Row],[DATA]]),    [IRRF FONTE]),    0)</f>
        <v>-706.18000000000006</v>
      </c>
      <c r="AA22" s="110">
        <f>[LÍQUIDO]-SUMPRODUCT(N([DATA]=NOTAS_80[[#This Row],[DATA]]),N([ID]=(NOTAS_80[[#This Row],[ID]]-1)),[LÍQUIDO])</f>
        <v>-706.18000000000006</v>
      </c>
      <c r="AB22" s="106">
        <f>IF([T] = "VC", ABS([VALOR OP]) / [QTDE], [VALOR OP]/[QTDE])</f>
        <v>-0.50441428571428581</v>
      </c>
      <c r="AC22" s="106">
        <f>TRUNC(IF(OR([T]="CV",[T]="VV"),     N22*SETUP!$H$3,     0),2)</f>
        <v>0</v>
      </c>
      <c r="AD22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22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0.50441428571428581</v>
      </c>
      <c r="AF22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22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22" s="106">
        <f>IF([LUCRO TMP] &lt;&gt; 0, [LUCRO TMP] - SUMPRODUCT(N([ATIVO]=NOTAS_80[[#This Row],[ATIVO]]),N(['[D/N']]="N"),N([ID]&lt;NOTAS_80[[#This Row],[ID]]),N([PAR]=NOTAS_80[[#This Row],[PAR]]), [LUCRO TMP]), 0)</f>
        <v>0</v>
      </c>
      <c r="AI22" s="106">
        <f>IF([U] = "U", SUMPRODUCT(N([ID]&lt;=NOTAS_80[[#This Row],[ID]]),N([DATA BASE]=NOTAS_80[[#This Row],[DATA BASE]]), N(['[D/N']] = "N"),    [LUCRO P/ OP]), 0)</f>
        <v>0</v>
      </c>
      <c r="AJ22" s="106">
        <f>IF([U] = "U", SUMPRODUCT(N([DATA BASE]=NOTAS_80[[#This Row],[DATA BASE]]), N(['[D/N']] = "D"),    [LUCRO P/ OP]), 0)</f>
        <v>0</v>
      </c>
      <c r="AK22" s="106">
        <f>IF([U] = "U", SUMPRODUCT(N([DATA BASE]=NOTAS_80[[#This Row],[DATA BASE]]), N(['[D/N']] = "D"),    [IRRF FONTE]), 0)</f>
        <v>0</v>
      </c>
    </row>
    <row r="23" spans="1:37">
      <c r="A23" s="13">
        <v>22</v>
      </c>
      <c r="B23" s="114"/>
      <c r="C23" s="107" t="s">
        <v>143</v>
      </c>
      <c r="D23" s="114" t="s">
        <v>25</v>
      </c>
      <c r="E23" s="115">
        <v>41165</v>
      </c>
      <c r="F23" s="114">
        <v>1400</v>
      </c>
      <c r="G23" s="116">
        <v>0.35</v>
      </c>
      <c r="H23" s="128"/>
      <c r="I23" s="129"/>
      <c r="J23" s="114" t="s">
        <v>14</v>
      </c>
      <c r="K23" s="115">
        <f>WORKDAY(NOTAS_80[[#This Row],[DATA]],1,0)</f>
        <v>41166</v>
      </c>
      <c r="L23" s="117">
        <f>EOMONTH(NOTAS_80[[#This Row],[DATA DE LIQUIDAÇÃO]],0)</f>
        <v>41182</v>
      </c>
      <c r="M23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6</v>
      </c>
      <c r="N23" s="116">
        <f>[QTDE]*[PREÇO]</f>
        <v>489.99999999999994</v>
      </c>
      <c r="O23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-210.00000000000006</v>
      </c>
      <c r="P23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0.21</v>
      </c>
      <c r="Q23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0.14000000000000001</v>
      </c>
      <c r="R23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0.17</v>
      </c>
      <c r="S23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9.7999999999999989</v>
      </c>
      <c r="T23" s="116">
        <f>TRUNC([CORR BOV] * 20% * IF([PARCIAL] &gt; 0, [QTDE] / [PARCIAL], 1),2)</f>
        <v>1.96</v>
      </c>
      <c r="U23" s="116">
        <f>SUMPRODUCT(N([DATA]=NOTAS_80[[#This Row],[DATA]]),N([ID]&lt;=NOTAS_80[[#This Row],[ID]]), [CORR])</f>
        <v>4.55</v>
      </c>
      <c r="V23" s="116">
        <f>TRUNC([CORRETAGEM]*SETUP!$F$3,2)</f>
        <v>0.09</v>
      </c>
      <c r="W23" s="116">
        <f>ROUND([CORRETAGEM]*SETUP!$G$3,2)</f>
        <v>0.18</v>
      </c>
      <c r="X23" s="116">
        <f>[VALOR LÍQUIDO DAS OPERAÇÕES]-[TAXA DE LIQUIDAÇÃO]-[EMOLUMENTOS]-[TAXA DE REGISTRO]-[CORRETAGEM]-[ISS]-IF(['[D/N']]="D",    0,    [OUTRAS BOVESPA]) - [AJUSTE]</f>
        <v>-215.16000000000005</v>
      </c>
      <c r="Y23" s="116">
        <f>IF(AND(['[D/N']]="D",    [T]="CV",    [LÍQUIDO BASE] &gt; 0),    TRUNC([LÍQUIDO BASE]*0.01, 2),    0)</f>
        <v>0</v>
      </c>
      <c r="Z23" s="63">
        <f>IF([PREÇO] &gt; 0,    [LÍQUIDO BASE]-SUMPRODUCT(N([DATA]=NOTAS_80[[#This Row],[DATA]]),    [IRRF FONTE]),    0)</f>
        <v>-218.40000000000006</v>
      </c>
      <c r="AA23" s="118">
        <f>[LÍQUIDO]-SUMPRODUCT(N([DATA]=NOTAS_80[[#This Row],[DATA]]),N([ID]=(NOTAS_80[[#This Row],[ID]]-1)),[LÍQUIDO])</f>
        <v>487.78</v>
      </c>
      <c r="AB23" s="116">
        <f>IF([T] = "VC", ABS([VALOR OP]) / [QTDE], [VALOR OP]/[QTDE])</f>
        <v>0.34841428571428568</v>
      </c>
      <c r="AC23" s="116">
        <f>TRUNC(IF(OR([T]="CV",[T]="VV"),     N23*SETUP!$H$3,     0),2)</f>
        <v>0.02</v>
      </c>
      <c r="AD23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23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0.50441428571428581</v>
      </c>
      <c r="AF23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0.34841428571428568</v>
      </c>
      <c r="AG23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-218.4000000000002</v>
      </c>
      <c r="AH23" s="116">
        <f>IF([LUCRO TMP] &lt;&gt; 0, [LUCRO TMP] - SUMPRODUCT(N([ATIVO]=NOTAS_80[[#This Row],[ATIVO]]),N(['[D/N']]="N"),N([ID]&lt;NOTAS_80[[#This Row],[ID]]),N([PAR]=NOTAS_80[[#This Row],[PAR]]), [LUCRO TMP]), 0)</f>
        <v>-218.4000000000002</v>
      </c>
      <c r="AI23" s="116">
        <f>IF([U] = "U", SUMPRODUCT(N([ID]&lt;=NOTAS_80[[#This Row],[ID]]),N([DATA BASE]=NOTAS_80[[#This Row],[DATA BASE]]), N(['[D/N']] = "N"),    [LUCRO P/ OP]), 0)</f>
        <v>0</v>
      </c>
      <c r="AJ23" s="116">
        <f>IF([U] = "U", SUMPRODUCT(N([DATA BASE]=NOTAS_80[[#This Row],[DATA BASE]]), N(['[D/N']] = "D"),    [LUCRO P/ OP]), 0)</f>
        <v>0</v>
      </c>
      <c r="AK23" s="116">
        <f>IF([U] = "U", SUMPRODUCT(N([DATA BASE]=NOTAS_80[[#This Row],[DATA BASE]]), N(['[D/N']] = "D"),    [IRRF FONTE]), 0)</f>
        <v>0</v>
      </c>
    </row>
    <row r="24" spans="1:37">
      <c r="A24" s="13">
        <v>23</v>
      </c>
      <c r="B24" s="107"/>
      <c r="C24" s="107" t="s">
        <v>158</v>
      </c>
      <c r="D24" s="107" t="s">
        <v>24</v>
      </c>
      <c r="E24" s="108">
        <v>41165</v>
      </c>
      <c r="F24" s="107">
        <v>1200</v>
      </c>
      <c r="G24" s="106">
        <v>0.41</v>
      </c>
      <c r="H24" s="105"/>
      <c r="I24" s="127"/>
      <c r="J24" s="107" t="s">
        <v>14</v>
      </c>
      <c r="K24" s="108">
        <f>WORKDAY(NOTAS_80[[#This Row],[DATA]],1,0)</f>
        <v>41166</v>
      </c>
      <c r="L24" s="109">
        <f>EOMONTH(NOTAS_80[[#This Row],[DATA DE LIQUIDAÇÃO]],0)</f>
        <v>41182</v>
      </c>
      <c r="M24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24" s="106">
        <f>[QTDE]*[PREÇO]</f>
        <v>491.99999999999994</v>
      </c>
      <c r="O24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-702</v>
      </c>
      <c r="P24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0.3</v>
      </c>
      <c r="Q24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0.2</v>
      </c>
      <c r="R24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0.25</v>
      </c>
      <c r="S24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9.84</v>
      </c>
      <c r="T24" s="106">
        <f>TRUNC([CORR BOV] * 20% * IF([PARCIAL] &gt; 0, [QTDE] / [PARCIAL], 1),2)</f>
        <v>1.96</v>
      </c>
      <c r="U24" s="106">
        <f>SUMPRODUCT(N([DATA]=NOTAS_80[[#This Row],[DATA]]),N([ID]&lt;=NOTAS_80[[#This Row],[ID]]), [CORR])</f>
        <v>6.51</v>
      </c>
      <c r="V24" s="106">
        <f>TRUNC([CORRETAGEM]*SETUP!$F$3,2)</f>
        <v>0.13</v>
      </c>
      <c r="W24" s="106">
        <f>ROUND([CORRETAGEM]*SETUP!$G$3,2)</f>
        <v>0.25</v>
      </c>
      <c r="X24" s="106">
        <f>[VALOR LÍQUIDO DAS OPERAÇÕES]-[TAXA DE LIQUIDAÇÃO]-[EMOLUMENTOS]-[TAXA DE REGISTRO]-[CORRETAGEM]-[ISS]-IF(['[D/N']]="D",    0,    [OUTRAS BOVESPA]) - [AJUSTE]</f>
        <v>-709.39</v>
      </c>
      <c r="Y24" s="106">
        <f>IF(AND(['[D/N']]="D",    [T]="CV",    [LÍQUIDO BASE] &gt; 0),    TRUNC([LÍQUIDO BASE]*0.01, 2),    0)</f>
        <v>0</v>
      </c>
      <c r="Z24" s="23">
        <f>IF([PREÇO] &gt; 0,    [LÍQUIDO BASE]-SUMPRODUCT(N([DATA]=NOTAS_80[[#This Row],[DATA]]),    [IRRF FONTE]),    0)</f>
        <v>-712.63</v>
      </c>
      <c r="AA24" s="110">
        <f>[LÍQUIDO]-SUMPRODUCT(N([DATA]=NOTAS_80[[#This Row],[DATA]]),N([ID]=(NOTAS_80[[#This Row],[ID]]-1)),[LÍQUIDO])</f>
        <v>-494.2299999999999</v>
      </c>
      <c r="AB24" s="106">
        <f>IF([T] = "VC", ABS([VALOR OP]) / [QTDE], [VALOR OP]/[QTDE])</f>
        <v>-0.41185833333333327</v>
      </c>
      <c r="AC24" s="106">
        <f>TRUNC(IF(OR([T]="CV",[T]="VV"),     N24*SETUP!$H$3,     0),2)</f>
        <v>0</v>
      </c>
      <c r="AD24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24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0.41185833333333327</v>
      </c>
      <c r="AF24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24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24" s="106">
        <f>IF([LUCRO TMP] &lt;&gt; 0, [LUCRO TMP] - SUMPRODUCT(N([ATIVO]=NOTAS_80[[#This Row],[ATIVO]]),N(['[D/N']]="N"),N([ID]&lt;NOTAS_80[[#This Row],[ID]]),N([PAR]=NOTAS_80[[#This Row],[PAR]]), [LUCRO TMP]), 0)</f>
        <v>0</v>
      </c>
      <c r="AI24" s="106">
        <f>IF([U] = "U", SUMPRODUCT(N([ID]&lt;=NOTAS_80[[#This Row],[ID]]),N([DATA BASE]=NOTAS_80[[#This Row],[DATA BASE]]), N(['[D/N']] = "N"),    [LUCRO P/ OP]), 0)</f>
        <v>0</v>
      </c>
      <c r="AJ24" s="106">
        <f>IF([U] = "U", SUMPRODUCT(N([DATA BASE]=NOTAS_80[[#This Row],[DATA BASE]]), N(['[D/N']] = "D"),    [LUCRO P/ OP]), 0)</f>
        <v>0</v>
      </c>
      <c r="AK24" s="106">
        <f>IF([U] = "U", SUMPRODUCT(N([DATA BASE]=NOTAS_80[[#This Row],[DATA BASE]]), N(['[D/N']] = "D"),    [IRRF FONTE]), 0)</f>
        <v>0</v>
      </c>
    </row>
    <row r="25" spans="1:37">
      <c r="A25" s="13">
        <v>24</v>
      </c>
      <c r="B25" s="114"/>
      <c r="C25" s="107" t="s">
        <v>158</v>
      </c>
      <c r="D25" s="114" t="s">
        <v>25</v>
      </c>
      <c r="E25" s="115">
        <v>41165</v>
      </c>
      <c r="F25" s="114">
        <v>1200</v>
      </c>
      <c r="G25" s="116">
        <v>0.85</v>
      </c>
      <c r="H25" s="128"/>
      <c r="I25" s="129">
        <v>-17.62</v>
      </c>
      <c r="J25" s="114" t="s">
        <v>14</v>
      </c>
      <c r="K25" s="115">
        <f>WORKDAY(NOTAS_80[[#This Row],[DATA]],1,0)</f>
        <v>41166</v>
      </c>
      <c r="L25" s="117">
        <f>EOMONTH(NOTAS_80[[#This Row],[DATA DE LIQUIDAÇÃO]],0)</f>
        <v>41182</v>
      </c>
      <c r="M25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25" s="116">
        <f>[QTDE]*[PREÇO]</f>
        <v>1020</v>
      </c>
      <c r="O25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318</v>
      </c>
      <c r="P25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0.48</v>
      </c>
      <c r="Q25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0.32</v>
      </c>
      <c r="R25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0.4</v>
      </c>
      <c r="S25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17.79</v>
      </c>
      <c r="T25" s="116">
        <f>TRUNC([CORR BOV] * 20% * IF([PARCIAL] &gt; 0, [QTDE] / [PARCIAL], 1),2)</f>
        <v>3.55</v>
      </c>
      <c r="U25" s="116">
        <f>SUMPRODUCT(N([DATA]=NOTAS_80[[#This Row],[DATA]]),N([ID]&lt;=NOTAS_80[[#This Row],[ID]]), [CORR])</f>
        <v>10.059999999999999</v>
      </c>
      <c r="V25" s="116">
        <f>TRUNC([CORRETAGEM]*SETUP!$F$3,2)</f>
        <v>0.2</v>
      </c>
      <c r="W25" s="116">
        <f>ROUND([CORRETAGEM]*SETUP!$G$3,2)</f>
        <v>0.39</v>
      </c>
      <c r="X25" s="116">
        <f>[VALOR LÍQUIDO DAS OPERAÇÕES]-[TAXA DE LIQUIDAÇÃO]-[EMOLUMENTOS]-[TAXA DE REGISTRO]-[CORRETAGEM]-[ISS]-IF(['[D/N']]="D",    0,    [OUTRAS BOVESPA]) - [AJUSTE]</f>
        <v>324.16000000000003</v>
      </c>
      <c r="Y25" s="116">
        <f>IF(AND(['[D/N']]="D",    [T]="CV",    [LÍQUIDO BASE] &gt; 0),    TRUNC([LÍQUIDO BASE]*0.01, 2),    0)</f>
        <v>3.24</v>
      </c>
      <c r="Z25" s="63">
        <f>IF([PREÇO] &gt; 0,    [LÍQUIDO BASE]-SUMPRODUCT(N([DATA]=NOTAS_80[[#This Row],[DATA]]),    [IRRF FONTE]),    0)</f>
        <v>320.92</v>
      </c>
      <c r="AA25" s="118">
        <f>[LÍQUIDO]-SUMPRODUCT(N([DATA]=NOTAS_80[[#This Row],[DATA]]),N([ID]=(NOTAS_80[[#This Row],[ID]]-1)),[LÍQUIDO])</f>
        <v>1033.55</v>
      </c>
      <c r="AB25" s="116">
        <f>IF([T] = "VC", ABS([VALOR OP]) / [QTDE], [VALOR OP]/[QTDE])</f>
        <v>0.86129166666666668</v>
      </c>
      <c r="AC25" s="116">
        <f>TRUNC(IF(OR([T]="CV",[T]="VV"),     N25*SETUP!$H$3,     0),2)</f>
        <v>0.05</v>
      </c>
      <c r="AD25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25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0.41185833333333327</v>
      </c>
      <c r="AF25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0.86129166666666668</v>
      </c>
      <c r="AG25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542.56000000000006</v>
      </c>
      <c r="AH25" s="116">
        <f>IF([LUCRO TMP] &lt;&gt; 0, [LUCRO TMP] - SUMPRODUCT(N([ATIVO]=NOTAS_80[[#This Row],[ATIVO]]),N(['[D/N']]="N"),N([ID]&lt;NOTAS_80[[#This Row],[ID]]),N([PAR]=NOTAS_80[[#This Row],[PAR]]), [LUCRO TMP]), 0)</f>
        <v>542.56000000000006</v>
      </c>
      <c r="AI25" s="116">
        <f>IF([U] = "U", SUMPRODUCT(N([ID]&lt;=NOTAS_80[[#This Row],[ID]]),N([DATA BASE]=NOTAS_80[[#This Row],[DATA BASE]]), N(['[D/N']] = "N"),    [LUCRO P/ OP]), 0)</f>
        <v>0</v>
      </c>
      <c r="AJ25" s="116">
        <f>IF([U] = "U", SUMPRODUCT(N([DATA BASE]=NOTAS_80[[#This Row],[DATA BASE]]), N(['[D/N']] = "D"),    [LUCRO P/ OP]), 0)</f>
        <v>0</v>
      </c>
      <c r="AK25" s="116">
        <f>IF([U] = "U", SUMPRODUCT(N([DATA BASE]=NOTAS_80[[#This Row],[DATA BASE]]), N(['[D/N']] = "D"),    [IRRF FONTE]), 0)</f>
        <v>0</v>
      </c>
    </row>
    <row r="26" spans="1:37">
      <c r="A26" s="13">
        <v>25</v>
      </c>
      <c r="B26" s="107"/>
      <c r="C26" s="107" t="s">
        <v>160</v>
      </c>
      <c r="D26" s="107" t="s">
        <v>24</v>
      </c>
      <c r="E26" s="108">
        <v>41166</v>
      </c>
      <c r="F26" s="107">
        <v>1400</v>
      </c>
      <c r="G26" s="106">
        <v>0.44</v>
      </c>
      <c r="H26" s="105"/>
      <c r="I26" s="127"/>
      <c r="J26" s="107" t="s">
        <v>14</v>
      </c>
      <c r="K26" s="108">
        <f>WORKDAY(NOTAS_80[[#This Row],[DATA]],1,0)</f>
        <v>41169</v>
      </c>
      <c r="L26" s="109">
        <f>EOMONTH(NOTAS_80[[#This Row],[DATA DE LIQUIDAÇÃO]],0)</f>
        <v>41182</v>
      </c>
      <c r="M26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26" s="106">
        <f>[QTDE]*[PREÇO]</f>
        <v>616</v>
      </c>
      <c r="O26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-616</v>
      </c>
      <c r="P26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0.11</v>
      </c>
      <c r="Q26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7.0000000000000007E-2</v>
      </c>
      <c r="R26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0.09</v>
      </c>
      <c r="S26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11.73</v>
      </c>
      <c r="T26" s="106">
        <f>TRUNC([CORR BOV] * 20% * IF([PARCIAL] &gt; 0, [QTDE] / [PARCIAL], 1),2)</f>
        <v>2.34</v>
      </c>
      <c r="U26" s="106">
        <f>SUMPRODUCT(N([DATA]=NOTAS_80[[#This Row],[DATA]]),N([ID]&lt;=NOTAS_80[[#This Row],[ID]]), [CORR])</f>
        <v>2.34</v>
      </c>
      <c r="V26" s="106">
        <f>TRUNC([CORRETAGEM]*SETUP!$F$3,2)</f>
        <v>0.04</v>
      </c>
      <c r="W26" s="106">
        <f>ROUND([CORRETAGEM]*SETUP!$G$3,2)</f>
        <v>0.09</v>
      </c>
      <c r="X26" s="106">
        <f>[VALOR LÍQUIDO DAS OPERAÇÕES]-[TAXA DE LIQUIDAÇÃO]-[EMOLUMENTOS]-[TAXA DE REGISTRO]-[CORRETAGEM]-[ISS]-IF(['[D/N']]="D",    0,    [OUTRAS BOVESPA]) - [AJUSTE]</f>
        <v>-618.65000000000009</v>
      </c>
      <c r="Y26" s="106">
        <f>IF(AND(['[D/N']]="D",    [T]="CV",    [LÍQUIDO BASE] &gt; 0),    TRUNC([LÍQUIDO BASE]*0.01, 2),    0)</f>
        <v>0</v>
      </c>
      <c r="Z26" s="23">
        <f>IF([PREÇO] &gt; 0,    [LÍQUIDO BASE]-SUMPRODUCT(N([DATA]=NOTAS_80[[#This Row],[DATA]]),    [IRRF FONTE]),    0)</f>
        <v>-628.7700000000001</v>
      </c>
      <c r="AA26" s="110">
        <f>[LÍQUIDO]-SUMPRODUCT(N([DATA]=NOTAS_80[[#This Row],[DATA]]),N([ID]=(NOTAS_80[[#This Row],[ID]]-1)),[LÍQUIDO])</f>
        <v>-628.7700000000001</v>
      </c>
      <c r="AB26" s="106">
        <f>IF([T] = "VC", ABS([VALOR OP]) / [QTDE], [VALOR OP]/[QTDE])</f>
        <v>-0.44912142857142862</v>
      </c>
      <c r="AC26" s="106">
        <f>TRUNC(IF(OR([T]="CV",[T]="VV"),     N26*SETUP!$H$3,     0),2)</f>
        <v>0</v>
      </c>
      <c r="AD26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26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0.44912142857142862</v>
      </c>
      <c r="AF26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26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26" s="106">
        <f>IF([LUCRO TMP] &lt;&gt; 0, [LUCRO TMP] - SUMPRODUCT(N([ATIVO]=NOTAS_80[[#This Row],[ATIVO]]),N(['[D/N']]="N"),N([ID]&lt;NOTAS_80[[#This Row],[ID]]),N([PAR]=NOTAS_80[[#This Row],[PAR]]), [LUCRO TMP]), 0)</f>
        <v>0</v>
      </c>
      <c r="AI26" s="106">
        <f>IF([U] = "U", SUMPRODUCT(N([ID]&lt;=NOTAS_80[[#This Row],[ID]]),N([DATA BASE]=NOTAS_80[[#This Row],[DATA BASE]]), N(['[D/N']] = "N"),    [LUCRO P/ OP]), 0)</f>
        <v>0</v>
      </c>
      <c r="AJ26" s="106">
        <f>IF([U] = "U", SUMPRODUCT(N([DATA BASE]=NOTAS_80[[#This Row],[DATA BASE]]), N(['[D/N']] = "D"),    [LUCRO P/ OP]), 0)</f>
        <v>0</v>
      </c>
      <c r="AK26" s="106">
        <f>IF([U] = "U", SUMPRODUCT(N([DATA BASE]=NOTAS_80[[#This Row],[DATA BASE]]), N(['[D/N']] = "D"),    [IRRF FONTE]), 0)</f>
        <v>0</v>
      </c>
    </row>
    <row r="27" spans="1:37">
      <c r="A27" s="13">
        <v>26</v>
      </c>
      <c r="B27" s="114"/>
      <c r="C27" s="107" t="s">
        <v>160</v>
      </c>
      <c r="D27" s="114" t="s">
        <v>25</v>
      </c>
      <c r="E27" s="115">
        <v>41166</v>
      </c>
      <c r="F27" s="114">
        <v>1400</v>
      </c>
      <c r="G27" s="116">
        <v>0.84</v>
      </c>
      <c r="H27" s="128"/>
      <c r="I27" s="129"/>
      <c r="J27" s="114" t="s">
        <v>14</v>
      </c>
      <c r="K27" s="115">
        <f>WORKDAY(NOTAS_80[[#This Row],[DATA]],1,0)</f>
        <v>41169</v>
      </c>
      <c r="L27" s="117">
        <f>EOMONTH(NOTAS_80[[#This Row],[DATA DE LIQUIDAÇÃO]],0)</f>
        <v>41182</v>
      </c>
      <c r="M27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27" s="116">
        <f>[QTDE]*[PREÇO]</f>
        <v>1176</v>
      </c>
      <c r="O27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560</v>
      </c>
      <c r="P27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0.32</v>
      </c>
      <c r="Q27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0.21</v>
      </c>
      <c r="R27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0.26</v>
      </c>
      <c r="S27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20.130000000000003</v>
      </c>
      <c r="T27" s="116">
        <f>TRUNC([CORR BOV] * 20% * IF([PARCIAL] &gt; 0, [QTDE] / [PARCIAL], 1),2)</f>
        <v>4.0199999999999996</v>
      </c>
      <c r="U27" s="116">
        <f>SUMPRODUCT(N([DATA]=NOTAS_80[[#This Row],[DATA]]),N([ID]&lt;=NOTAS_80[[#This Row],[ID]]), [CORR])</f>
        <v>6.3599999999999994</v>
      </c>
      <c r="V27" s="116">
        <f>TRUNC([CORRETAGEM]*SETUP!$F$3,2)</f>
        <v>0.12</v>
      </c>
      <c r="W27" s="116">
        <f>ROUND([CORRETAGEM]*SETUP!$G$3,2)</f>
        <v>0.25</v>
      </c>
      <c r="X27" s="116">
        <f>[VALOR LÍQUIDO DAS OPERAÇÕES]-[TAXA DE LIQUIDAÇÃO]-[EMOLUMENTOS]-[TAXA DE REGISTRO]-[CORRETAGEM]-[ISS]-IF(['[D/N']]="D",    0,    [OUTRAS BOVESPA]) - [AJUSTE]</f>
        <v>552.7299999999999</v>
      </c>
      <c r="Y27" s="116">
        <f>IF(AND(['[D/N']]="D",    [T]="CV",    [LÍQUIDO BASE] &gt; 0),    TRUNC([LÍQUIDO BASE]*0.01, 2),    0)</f>
        <v>5.52</v>
      </c>
      <c r="Z27" s="63">
        <f>IF([PREÇO] &gt; 0,    [LÍQUIDO BASE]-SUMPRODUCT(N([DATA]=NOTAS_80[[#This Row],[DATA]]),    [IRRF FONTE]),    0)</f>
        <v>542.6099999999999</v>
      </c>
      <c r="AA27" s="118">
        <f>[LÍQUIDO]-SUMPRODUCT(N([DATA]=NOTAS_80[[#This Row],[DATA]]),N([ID]=(NOTAS_80[[#This Row],[ID]]-1)),[LÍQUIDO])</f>
        <v>1171.3800000000001</v>
      </c>
      <c r="AB27" s="116">
        <f>IF([T] = "VC", ABS([VALOR OP]) / [QTDE], [VALOR OP]/[QTDE])</f>
        <v>0.83670000000000011</v>
      </c>
      <c r="AC27" s="116">
        <f>TRUNC(IF(OR([T]="CV",[T]="VV"),     N27*SETUP!$H$3,     0),2)</f>
        <v>0.05</v>
      </c>
      <c r="AD27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27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0.44912142857142862</v>
      </c>
      <c r="AF27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0.83670000000000011</v>
      </c>
      <c r="AG27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548.13000000000011</v>
      </c>
      <c r="AH27" s="116">
        <f>IF([LUCRO TMP] &lt;&gt; 0, [LUCRO TMP] - SUMPRODUCT(N([ATIVO]=NOTAS_80[[#This Row],[ATIVO]]),N(['[D/N']]="N"),N([ID]&lt;NOTAS_80[[#This Row],[ID]]),N([PAR]=NOTAS_80[[#This Row],[PAR]]), [LUCRO TMP]), 0)</f>
        <v>548.13000000000011</v>
      </c>
      <c r="AI27" s="116">
        <f>IF([U] = "U", SUMPRODUCT(N([ID]&lt;=NOTAS_80[[#This Row],[ID]]),N([DATA BASE]=NOTAS_80[[#This Row],[DATA BASE]]), N(['[D/N']] = "N"),    [LUCRO P/ OP]), 0)</f>
        <v>0</v>
      </c>
      <c r="AJ27" s="116">
        <f>IF([U] = "U", SUMPRODUCT(N([DATA BASE]=NOTAS_80[[#This Row],[DATA BASE]]), N(['[D/N']] = "D"),    [LUCRO P/ OP]), 0)</f>
        <v>0</v>
      </c>
      <c r="AK27" s="116">
        <f>IF([U] = "U", SUMPRODUCT(N([DATA BASE]=NOTAS_80[[#This Row],[DATA BASE]]), N(['[D/N']] = "D"),    [IRRF FONTE]), 0)</f>
        <v>0</v>
      </c>
    </row>
    <row r="28" spans="1:37">
      <c r="A28" s="13">
        <v>27</v>
      </c>
      <c r="B28" s="107"/>
      <c r="C28" s="107" t="s">
        <v>161</v>
      </c>
      <c r="D28" s="107" t="s">
        <v>24</v>
      </c>
      <c r="E28" s="108">
        <v>41166</v>
      </c>
      <c r="F28" s="107">
        <v>800</v>
      </c>
      <c r="G28" s="106">
        <v>0.71</v>
      </c>
      <c r="H28" s="105"/>
      <c r="I28" s="127"/>
      <c r="J28" s="107" t="s">
        <v>14</v>
      </c>
      <c r="K28" s="108">
        <f>WORKDAY(NOTAS_80[[#This Row],[DATA]],1,0)</f>
        <v>41169</v>
      </c>
      <c r="L28" s="109">
        <f>EOMONTH(NOTAS_80[[#This Row],[DATA DE LIQUIDAÇÃO]],0)</f>
        <v>41182</v>
      </c>
      <c r="M28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28" s="106">
        <f>[QTDE]*[PREÇO]</f>
        <v>568</v>
      </c>
      <c r="O28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-8</v>
      </c>
      <c r="P28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0.42</v>
      </c>
      <c r="Q28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0.28000000000000003</v>
      </c>
      <c r="R28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0.35</v>
      </c>
      <c r="S28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11.01</v>
      </c>
      <c r="T28" s="106">
        <f>TRUNC([CORR BOV] * 20% * IF([PARCIAL] &gt; 0, [QTDE] / [PARCIAL], 1),2)</f>
        <v>2.2000000000000002</v>
      </c>
      <c r="U28" s="106">
        <f>SUMPRODUCT(N([DATA]=NOTAS_80[[#This Row],[DATA]]),N([ID]&lt;=NOTAS_80[[#This Row],[ID]]), [CORR])</f>
        <v>8.5599999999999987</v>
      </c>
      <c r="V28" s="106">
        <f>TRUNC([CORRETAGEM]*SETUP!$F$3,2)</f>
        <v>0.17</v>
      </c>
      <c r="W28" s="106">
        <f>ROUND([CORRETAGEM]*SETUP!$G$3,2)</f>
        <v>0.33</v>
      </c>
      <c r="X28" s="106">
        <f>[VALOR LÍQUIDO DAS OPERAÇÕES]-[TAXA DE LIQUIDAÇÃO]-[EMOLUMENTOS]-[TAXA DE REGISTRO]-[CORRETAGEM]-[ISS]-IF(['[D/N']]="D",    0,    [OUTRAS BOVESPA]) - [AJUSTE]</f>
        <v>-17.78</v>
      </c>
      <c r="Y28" s="106">
        <f>IF(AND(['[D/N']]="D",    [T]="CV",    [LÍQUIDO BASE] &gt; 0),    TRUNC([LÍQUIDO BASE]*0.01, 2),    0)</f>
        <v>0</v>
      </c>
      <c r="Z28" s="23">
        <f>IF([PREÇO] &gt; 0,    [LÍQUIDO BASE]-SUMPRODUCT(N([DATA]=NOTAS_80[[#This Row],[DATA]]),    [IRRF FONTE]),    0)</f>
        <v>-27.9</v>
      </c>
      <c r="AA28" s="110">
        <f>[LÍQUIDO]-SUMPRODUCT(N([DATA]=NOTAS_80[[#This Row],[DATA]]),N([ID]=(NOTAS_80[[#This Row],[ID]]-1)),[LÍQUIDO])</f>
        <v>-570.50999999999988</v>
      </c>
      <c r="AB28" s="106">
        <f>IF([T] = "VC", ABS([VALOR OP]) / [QTDE], [VALOR OP]/[QTDE])</f>
        <v>-0.71313749999999987</v>
      </c>
      <c r="AC28" s="106">
        <f>TRUNC(IF(OR([T]="CV",[T]="VV"),     N28*SETUP!$H$3,     0),2)</f>
        <v>0</v>
      </c>
      <c r="AD28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28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0.71313749999999987</v>
      </c>
      <c r="AF28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28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28" s="106">
        <f>IF([LUCRO TMP] &lt;&gt; 0, [LUCRO TMP] - SUMPRODUCT(N([ATIVO]=NOTAS_80[[#This Row],[ATIVO]]),N(['[D/N']]="N"),N([ID]&lt;NOTAS_80[[#This Row],[ID]]),N([PAR]=NOTAS_80[[#This Row],[PAR]]), [LUCRO TMP]), 0)</f>
        <v>0</v>
      </c>
      <c r="AI28" s="106">
        <f>IF([U] = "U", SUMPRODUCT(N([ID]&lt;=NOTAS_80[[#This Row],[ID]]),N([DATA BASE]=NOTAS_80[[#This Row],[DATA BASE]]), N(['[D/N']] = "N"),    [LUCRO P/ OP]), 0)</f>
        <v>0</v>
      </c>
      <c r="AJ28" s="106">
        <f>IF([U] = "U", SUMPRODUCT(N([DATA BASE]=NOTAS_80[[#This Row],[DATA BASE]]), N(['[D/N']] = "D"),    [LUCRO P/ OP]), 0)</f>
        <v>0</v>
      </c>
      <c r="AK28" s="106">
        <f>IF([U] = "U", SUMPRODUCT(N([DATA BASE]=NOTAS_80[[#This Row],[DATA BASE]]), N(['[D/N']] = "D"),    [IRRF FONTE]), 0)</f>
        <v>0</v>
      </c>
    </row>
    <row r="29" spans="1:37">
      <c r="A29" s="13">
        <v>28</v>
      </c>
      <c r="B29" s="114"/>
      <c r="C29" s="107" t="s">
        <v>161</v>
      </c>
      <c r="D29" s="114" t="s">
        <v>25</v>
      </c>
      <c r="E29" s="115">
        <v>41166</v>
      </c>
      <c r="F29" s="114">
        <v>800</v>
      </c>
      <c r="G29" s="116">
        <v>0.59</v>
      </c>
      <c r="H29" s="128"/>
      <c r="I29" s="129">
        <v>-8.1</v>
      </c>
      <c r="J29" s="114" t="s">
        <v>14</v>
      </c>
      <c r="K29" s="115">
        <f>WORKDAY(NOTAS_80[[#This Row],[DATA]],1,0)</f>
        <v>41169</v>
      </c>
      <c r="L29" s="117">
        <f>EOMONTH(NOTAS_80[[#This Row],[DATA DE LIQUIDAÇÃO]],0)</f>
        <v>41182</v>
      </c>
      <c r="M29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29" s="116">
        <f>[QTDE]*[PREÇO]</f>
        <v>472</v>
      </c>
      <c r="O29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464</v>
      </c>
      <c r="P29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0.5</v>
      </c>
      <c r="Q29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0.33</v>
      </c>
      <c r="R29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0.42</v>
      </c>
      <c r="S29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9.44</v>
      </c>
      <c r="T29" s="116">
        <f>TRUNC([CORR BOV] * 20% * IF([PARCIAL] &gt; 0, [QTDE] / [PARCIAL], 1),2)</f>
        <v>1.88</v>
      </c>
      <c r="U29" s="116">
        <f>SUMPRODUCT(N([DATA]=NOTAS_80[[#This Row],[DATA]]),N([ID]&lt;=NOTAS_80[[#This Row],[ID]]), [CORR])</f>
        <v>10.439999999999998</v>
      </c>
      <c r="V29" s="116">
        <f>TRUNC([CORRETAGEM]*SETUP!$F$3,2)</f>
        <v>0.2</v>
      </c>
      <c r="W29" s="116">
        <f>ROUND([CORRETAGEM]*SETUP!$G$3,2)</f>
        <v>0.41</v>
      </c>
      <c r="X29" s="116">
        <f>[VALOR LÍQUIDO DAS OPERAÇÕES]-[TAXA DE LIQUIDAÇÃO]-[EMOLUMENTOS]-[TAXA DE REGISTRO]-[CORRETAGEM]-[ISS]-IF(['[D/N']]="D",    0,    [OUTRAS BOVESPA]) - [AJUSTE]</f>
        <v>460.21000000000004</v>
      </c>
      <c r="Y29" s="116">
        <f>IF(AND(['[D/N']]="D",    [T]="CV",    [LÍQUIDO BASE] &gt; 0),    TRUNC([LÍQUIDO BASE]*0.01, 2),    0)</f>
        <v>4.5999999999999996</v>
      </c>
      <c r="Z29" s="63">
        <f>IF([PREÇO] &gt; 0,    [LÍQUIDO BASE]-SUMPRODUCT(N([DATA]=NOTAS_80[[#This Row],[DATA]]),    [IRRF FONTE]),    0)</f>
        <v>450.09000000000003</v>
      </c>
      <c r="AA29" s="118">
        <f>[LÍQUIDO]-SUMPRODUCT(N([DATA]=NOTAS_80[[#This Row],[DATA]]),N([ID]=(NOTAS_80[[#This Row],[ID]]-1)),[LÍQUIDO])</f>
        <v>477.99</v>
      </c>
      <c r="AB29" s="116">
        <f>IF([T] = "VC", ABS([VALOR OP]) / [QTDE], [VALOR OP]/[QTDE])</f>
        <v>0.59748750000000006</v>
      </c>
      <c r="AC29" s="116">
        <f>TRUNC(IF(OR([T]="CV",[T]="VV"),     N29*SETUP!$H$3,     0),2)</f>
        <v>0.02</v>
      </c>
      <c r="AD29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29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0.71313749999999987</v>
      </c>
      <c r="AF29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0.59748750000000006</v>
      </c>
      <c r="AG29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-87.919999999999845</v>
      </c>
      <c r="AH29" s="116">
        <f>IF([LUCRO TMP] &lt;&gt; 0, [LUCRO TMP] - SUMPRODUCT(N([ATIVO]=NOTAS_80[[#This Row],[ATIVO]]),N(['[D/N']]="N"),N([ID]&lt;NOTAS_80[[#This Row],[ID]]),N([PAR]=NOTAS_80[[#This Row],[PAR]]), [LUCRO TMP]), 0)</f>
        <v>-87.919999999999845</v>
      </c>
      <c r="AI29" s="116">
        <f>IF([U] = "U", SUMPRODUCT(N([ID]&lt;=NOTAS_80[[#This Row],[ID]]),N([DATA BASE]=NOTAS_80[[#This Row],[DATA BASE]]), N(['[D/N']] = "N"),    [LUCRO P/ OP]), 0)</f>
        <v>0</v>
      </c>
      <c r="AJ29" s="116">
        <f>IF([U] = "U", SUMPRODUCT(N([DATA BASE]=NOTAS_80[[#This Row],[DATA BASE]]), N(['[D/N']] = "D"),    [LUCRO P/ OP]), 0)</f>
        <v>0</v>
      </c>
      <c r="AK29" s="116">
        <f>IF([U] = "U", SUMPRODUCT(N([DATA BASE]=NOTAS_80[[#This Row],[DATA BASE]]), N(['[D/N']] = "D"),    [IRRF FONTE]), 0)</f>
        <v>0</v>
      </c>
    </row>
    <row r="30" spans="1:37">
      <c r="A30" s="13">
        <v>29</v>
      </c>
      <c r="B30" s="107"/>
      <c r="C30" s="107" t="s">
        <v>159</v>
      </c>
      <c r="D30" s="107" t="s">
        <v>24</v>
      </c>
      <c r="E30" s="108">
        <v>41169</v>
      </c>
      <c r="F30" s="107">
        <v>600</v>
      </c>
      <c r="G30" s="106">
        <v>1.86</v>
      </c>
      <c r="H30" s="105"/>
      <c r="I30" s="127"/>
      <c r="J30" s="107" t="s">
        <v>14</v>
      </c>
      <c r="K30" s="108">
        <f>WORKDAY(NOTAS_80[[#This Row],[DATA]],1,0)</f>
        <v>41170</v>
      </c>
      <c r="L30" s="109">
        <f>EOMONTH(NOTAS_80[[#This Row],[DATA DE LIQUIDAÇÃO]],0)</f>
        <v>41182</v>
      </c>
      <c r="M30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30" s="106">
        <f>[QTDE]*[PREÇO]</f>
        <v>1116</v>
      </c>
      <c r="O30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-1116</v>
      </c>
      <c r="P30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0.2</v>
      </c>
      <c r="Q30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0.13</v>
      </c>
      <c r="R30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0.16</v>
      </c>
      <c r="S30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19.229999999999997</v>
      </c>
      <c r="T30" s="106">
        <f>TRUNC([CORR BOV] * 20% * IF([PARCIAL] &gt; 0, [QTDE] / [PARCIAL], 1),2)</f>
        <v>3.84</v>
      </c>
      <c r="U30" s="106">
        <f>SUMPRODUCT(N([DATA]=NOTAS_80[[#This Row],[DATA]]),N([ID]&lt;=NOTAS_80[[#This Row],[ID]]), [CORR])</f>
        <v>3.84</v>
      </c>
      <c r="V30" s="106">
        <f>TRUNC([CORRETAGEM]*SETUP!$F$3,2)</f>
        <v>7.0000000000000007E-2</v>
      </c>
      <c r="W30" s="106">
        <f>ROUND([CORRETAGEM]*SETUP!$G$3,2)</f>
        <v>0.15</v>
      </c>
      <c r="X30" s="106">
        <f>[VALOR LÍQUIDO DAS OPERAÇÕES]-[TAXA DE LIQUIDAÇÃO]-[EMOLUMENTOS]-[TAXA DE REGISTRO]-[CORRETAGEM]-[ISS]-IF(['[D/N']]="D",    0,    [OUTRAS BOVESPA]) - [AJUSTE]</f>
        <v>-1120.4000000000001</v>
      </c>
      <c r="Y30" s="106">
        <f>IF(AND(['[D/N']]="D",    [T]="CV",    [LÍQUIDO BASE] &gt; 0),    TRUNC([LÍQUIDO BASE]*0.01, 2),    0)</f>
        <v>0</v>
      </c>
      <c r="Z30" s="23">
        <f>IF([PREÇO] &gt; 0,    [LÍQUIDO BASE]-SUMPRODUCT(N([DATA]=NOTAS_80[[#This Row],[DATA]]),    [IRRF FONTE]),    0)</f>
        <v>-1120.4000000000001</v>
      </c>
      <c r="AA30" s="110">
        <f>[LÍQUIDO]-SUMPRODUCT(N([DATA]=NOTAS_80[[#This Row],[DATA]]),N([ID]=(NOTAS_80[[#This Row],[ID]]-1)),[LÍQUIDO])</f>
        <v>-1120.4000000000001</v>
      </c>
      <c r="AB30" s="106">
        <f>IF([T] = "VC", ABS([VALOR OP]) / [QTDE], [VALOR OP]/[QTDE])</f>
        <v>-1.8673333333333335</v>
      </c>
      <c r="AC30" s="106">
        <f>TRUNC(IF(OR([T]="CV",[T]="VV"),     N30*SETUP!$H$3,     0),2)</f>
        <v>0</v>
      </c>
      <c r="AD30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30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1.8673333333333335</v>
      </c>
      <c r="AF30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30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30" s="106">
        <f>IF([LUCRO TMP] &lt;&gt; 0, [LUCRO TMP] - SUMPRODUCT(N([ATIVO]=NOTAS_80[[#This Row],[ATIVO]]),N(['[D/N']]="N"),N([ID]&lt;NOTAS_80[[#This Row],[ID]]),N([PAR]=NOTAS_80[[#This Row],[PAR]]), [LUCRO TMP]), 0)</f>
        <v>0</v>
      </c>
      <c r="AI30" s="106">
        <f>IF([U] = "U", SUMPRODUCT(N([ID]&lt;=NOTAS_80[[#This Row],[ID]]),N([DATA BASE]=NOTAS_80[[#This Row],[DATA BASE]]), N(['[D/N']] = "N"),    [LUCRO P/ OP]), 0)</f>
        <v>0</v>
      </c>
      <c r="AJ30" s="106">
        <f>IF([U] = "U", SUMPRODUCT(N([DATA BASE]=NOTAS_80[[#This Row],[DATA BASE]]), N(['[D/N']] = "D"),    [LUCRO P/ OP]), 0)</f>
        <v>0</v>
      </c>
      <c r="AK30" s="106">
        <f>IF([U] = "U", SUMPRODUCT(N([DATA BASE]=NOTAS_80[[#This Row],[DATA BASE]]), N(['[D/N']] = "D"),    [IRRF FONTE]), 0)</f>
        <v>0</v>
      </c>
    </row>
    <row r="31" spans="1:37">
      <c r="A31" s="13">
        <v>30</v>
      </c>
      <c r="B31" s="114"/>
      <c r="C31" s="107" t="s">
        <v>159</v>
      </c>
      <c r="D31" s="114" t="s">
        <v>25</v>
      </c>
      <c r="E31" s="115">
        <v>41169</v>
      </c>
      <c r="F31" s="114">
        <v>600</v>
      </c>
      <c r="G31" s="116">
        <v>1.85</v>
      </c>
      <c r="H31" s="128"/>
      <c r="I31" s="129">
        <v>-0.97</v>
      </c>
      <c r="J31" s="114" t="s">
        <v>14</v>
      </c>
      <c r="K31" s="115">
        <f>WORKDAY(NOTAS_80[[#This Row],[DATA]],1,0)</f>
        <v>41170</v>
      </c>
      <c r="L31" s="117">
        <f>EOMONTH(NOTAS_80[[#This Row],[DATA DE LIQUIDAÇÃO]],0)</f>
        <v>41182</v>
      </c>
      <c r="M31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31" s="116">
        <f>[QTDE]*[PREÇO]</f>
        <v>1110</v>
      </c>
      <c r="O31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-6</v>
      </c>
      <c r="P31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0.4</v>
      </c>
      <c r="Q31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0.26</v>
      </c>
      <c r="R31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0.33</v>
      </c>
      <c r="S31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19.14</v>
      </c>
      <c r="T31" s="116">
        <f>TRUNC([CORR BOV] * 20% * IF([PARCIAL] &gt; 0, [QTDE] / [PARCIAL], 1),2)</f>
        <v>3.82</v>
      </c>
      <c r="U31" s="116">
        <f>SUMPRODUCT(N([DATA]=NOTAS_80[[#This Row],[DATA]]),N([ID]&lt;=NOTAS_80[[#This Row],[ID]]), [CORR])</f>
        <v>7.66</v>
      </c>
      <c r="V31" s="116">
        <f>TRUNC([CORRETAGEM]*SETUP!$F$3,2)</f>
        <v>0.15</v>
      </c>
      <c r="W31" s="116">
        <f>ROUND([CORRETAGEM]*SETUP!$G$3,2)</f>
        <v>0.3</v>
      </c>
      <c r="X31" s="116">
        <f>[VALOR LÍQUIDO DAS OPERAÇÕES]-[TAXA DE LIQUIDAÇÃO]-[EMOLUMENTOS]-[TAXA DE REGISTRO]-[CORRETAGEM]-[ISS]-IF(['[D/N']]="D",    0,    [OUTRAS BOVESPA]) - [AJUSTE]</f>
        <v>-13.83</v>
      </c>
      <c r="Y31" s="116">
        <f>IF(AND(['[D/N']]="D",    [T]="CV",    [LÍQUIDO BASE] &gt; 0),    TRUNC([LÍQUIDO BASE]*0.01, 2),    0)</f>
        <v>0</v>
      </c>
      <c r="Z31" s="63">
        <f>IF([PREÇO] &gt; 0,    [LÍQUIDO BASE]-SUMPRODUCT(N([DATA]=NOTAS_80[[#This Row],[DATA]]),    [IRRF FONTE]),    0)</f>
        <v>-13.83</v>
      </c>
      <c r="AA31" s="118">
        <f>[LÍQUIDO]-SUMPRODUCT(N([DATA]=NOTAS_80[[#This Row],[DATA]]),N([ID]=(NOTAS_80[[#This Row],[ID]]-1)),[LÍQUIDO])</f>
        <v>1106.5700000000002</v>
      </c>
      <c r="AB31" s="116">
        <f>IF([T] = "VC", ABS([VALOR OP]) / [QTDE], [VALOR OP]/[QTDE])</f>
        <v>1.8442833333333335</v>
      </c>
      <c r="AC31" s="116">
        <f>TRUNC(IF(OR([T]="CV",[T]="VV"),     N31*SETUP!$H$3,     0),2)</f>
        <v>0.05</v>
      </c>
      <c r="AD31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31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1.8673333333333335</v>
      </c>
      <c r="AF31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1.8442833333333335</v>
      </c>
      <c r="AG31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-13.830000000000009</v>
      </c>
      <c r="AH31" s="116">
        <f>IF([LUCRO TMP] &lt;&gt; 0, [LUCRO TMP] - SUMPRODUCT(N([ATIVO]=NOTAS_80[[#This Row],[ATIVO]]),N(['[D/N']]="N"),N([ID]&lt;NOTAS_80[[#This Row],[ID]]),N([PAR]=NOTAS_80[[#This Row],[PAR]]), [LUCRO TMP]), 0)</f>
        <v>-13.830000000000009</v>
      </c>
      <c r="AI31" s="116">
        <f>IF([U] = "U", SUMPRODUCT(N([ID]&lt;=NOTAS_80[[#This Row],[ID]]),N([DATA BASE]=NOTAS_80[[#This Row],[DATA BASE]]), N(['[D/N']] = "N"),    [LUCRO P/ OP]), 0)</f>
        <v>0</v>
      </c>
      <c r="AJ31" s="116">
        <f>IF([U] = "U", SUMPRODUCT(N([DATA BASE]=NOTAS_80[[#This Row],[DATA BASE]]), N(['[D/N']] = "D"),    [LUCRO P/ OP]), 0)</f>
        <v>0</v>
      </c>
      <c r="AK31" s="116">
        <f>IF([U] = "U", SUMPRODUCT(N([DATA BASE]=NOTAS_80[[#This Row],[DATA BASE]]), N(['[D/N']] = "D"),    [IRRF FONTE]), 0)</f>
        <v>0</v>
      </c>
    </row>
    <row r="32" spans="1:37">
      <c r="A32" s="13">
        <v>31</v>
      </c>
      <c r="B32" s="107"/>
      <c r="C32" s="107" t="s">
        <v>162</v>
      </c>
      <c r="D32" s="107" t="s">
        <v>24</v>
      </c>
      <c r="E32" s="108">
        <v>41170</v>
      </c>
      <c r="F32" s="107">
        <v>600</v>
      </c>
      <c r="G32" s="106">
        <v>1.67</v>
      </c>
      <c r="H32" s="105"/>
      <c r="I32" s="127"/>
      <c r="J32" s="107" t="s">
        <v>14</v>
      </c>
      <c r="K32" s="108">
        <f>WORKDAY(NOTAS_80[[#This Row],[DATA]],1,0)</f>
        <v>41171</v>
      </c>
      <c r="L32" s="109">
        <f>EOMONTH(NOTAS_80[[#This Row],[DATA DE LIQUIDAÇÃO]],0)</f>
        <v>41182</v>
      </c>
      <c r="M32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32" s="106">
        <f>[QTDE]*[PREÇO]</f>
        <v>1002</v>
      </c>
      <c r="O32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-1002</v>
      </c>
      <c r="P32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0.18</v>
      </c>
      <c r="Q32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0.12</v>
      </c>
      <c r="R32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0.15</v>
      </c>
      <c r="S32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17.52</v>
      </c>
      <c r="T32" s="106">
        <f>TRUNC([CORR BOV] * 20% * IF([PARCIAL] &gt; 0, [QTDE] / [PARCIAL], 1),2)</f>
        <v>3.5</v>
      </c>
      <c r="U32" s="106">
        <f>SUMPRODUCT(N([DATA]=NOTAS_80[[#This Row],[DATA]]),N([ID]&lt;=NOTAS_80[[#This Row],[ID]]), [CORR])</f>
        <v>3.5</v>
      </c>
      <c r="V32" s="106">
        <f>TRUNC([CORRETAGEM]*SETUP!$F$3,2)</f>
        <v>7.0000000000000007E-2</v>
      </c>
      <c r="W32" s="106">
        <f>ROUND([CORRETAGEM]*SETUP!$G$3,2)</f>
        <v>0.14000000000000001</v>
      </c>
      <c r="X32" s="106">
        <f>[VALOR LÍQUIDO DAS OPERAÇÕES]-[TAXA DE LIQUIDAÇÃO]-[EMOLUMENTOS]-[TAXA DE REGISTRO]-[CORRETAGEM]-[ISS]-IF(['[D/N']]="D",    0,    [OUTRAS BOVESPA]) - [AJUSTE]</f>
        <v>-1006.02</v>
      </c>
      <c r="Y32" s="106">
        <f>IF(AND(['[D/N']]="D",    [T]="CV",    [LÍQUIDO BASE] &gt; 0),    TRUNC([LÍQUIDO BASE]*0.01, 2),    0)</f>
        <v>0</v>
      </c>
      <c r="Z32" s="23">
        <f>IF([PREÇO] &gt; 0,    [LÍQUIDO BASE]-SUMPRODUCT(N([DATA]=NOTAS_80[[#This Row],[DATA]]),    [IRRF FONTE]),    0)</f>
        <v>-1006.02</v>
      </c>
      <c r="AA32" s="110">
        <f>[LÍQUIDO]-SUMPRODUCT(N([DATA]=NOTAS_80[[#This Row],[DATA]]),N([ID]=(NOTAS_80[[#This Row],[ID]]-1)),[LÍQUIDO])</f>
        <v>-1006.02</v>
      </c>
      <c r="AB32" s="106">
        <f>IF([T] = "VC", ABS([VALOR OP]) / [QTDE], [VALOR OP]/[QTDE])</f>
        <v>-1.6767000000000001</v>
      </c>
      <c r="AC32" s="106">
        <f>TRUNC(IF(OR([T]="CV",[T]="VV"),     N32*SETUP!$H$3,     0),2)</f>
        <v>0</v>
      </c>
      <c r="AD32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32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1.6767000000000001</v>
      </c>
      <c r="AF32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32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32" s="106">
        <f>IF([LUCRO TMP] &lt;&gt; 0, [LUCRO TMP] - SUMPRODUCT(N([ATIVO]=NOTAS_80[[#This Row],[ATIVO]]),N(['[D/N']]="N"),N([ID]&lt;NOTAS_80[[#This Row],[ID]]),N([PAR]=NOTAS_80[[#This Row],[PAR]]), [LUCRO TMP]), 0)</f>
        <v>0</v>
      </c>
      <c r="AI32" s="106">
        <f>IF([U] = "U", SUMPRODUCT(N([ID]&lt;=NOTAS_80[[#This Row],[ID]]),N([DATA BASE]=NOTAS_80[[#This Row],[DATA BASE]]), N(['[D/N']] = "N"),    [LUCRO P/ OP]), 0)</f>
        <v>0</v>
      </c>
      <c r="AJ32" s="106">
        <f>IF([U] = "U", SUMPRODUCT(N([DATA BASE]=NOTAS_80[[#This Row],[DATA BASE]]), N(['[D/N']] = "D"),    [LUCRO P/ OP]), 0)</f>
        <v>0</v>
      </c>
      <c r="AK32" s="106">
        <f>IF([U] = "U", SUMPRODUCT(N([DATA BASE]=NOTAS_80[[#This Row],[DATA BASE]]), N(['[D/N']] = "D"),    [IRRF FONTE]), 0)</f>
        <v>0</v>
      </c>
    </row>
    <row r="33" spans="1:37">
      <c r="A33" s="13">
        <v>32</v>
      </c>
      <c r="B33" s="107"/>
      <c r="C33" s="107" t="s">
        <v>162</v>
      </c>
      <c r="D33" s="114" t="s">
        <v>25</v>
      </c>
      <c r="E33" s="115">
        <v>41170</v>
      </c>
      <c r="F33" s="114">
        <v>600</v>
      </c>
      <c r="G33" s="116">
        <v>1.64</v>
      </c>
      <c r="H33" s="128"/>
      <c r="I33" s="129">
        <v>5.24</v>
      </c>
      <c r="J33" s="114" t="s">
        <v>14</v>
      </c>
      <c r="K33" s="108">
        <f>WORKDAY(NOTAS_80[[#This Row],[DATA]],1,0)</f>
        <v>41171</v>
      </c>
      <c r="L33" s="109">
        <f>EOMONTH(NOTAS_80[[#This Row],[DATA DE LIQUIDAÇÃO]],0)</f>
        <v>41182</v>
      </c>
      <c r="M33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33" s="106">
        <f>[QTDE]*[PREÇO]</f>
        <v>983.99999999999989</v>
      </c>
      <c r="O33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-18.000000000000114</v>
      </c>
      <c r="P33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0.35</v>
      </c>
      <c r="Q33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0.23</v>
      </c>
      <c r="R33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0.28999999999999998</v>
      </c>
      <c r="S33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17.25</v>
      </c>
      <c r="T33" s="106">
        <f>TRUNC([CORR BOV] * 20% * IF([PARCIAL] &gt; 0, [QTDE] / [PARCIAL], 1),2)</f>
        <v>3.45</v>
      </c>
      <c r="U33" s="106">
        <f>SUMPRODUCT(N([DATA]=NOTAS_80[[#This Row],[DATA]]),N([ID]&lt;=NOTAS_80[[#This Row],[ID]]), [CORR])</f>
        <v>6.95</v>
      </c>
      <c r="V33" s="106">
        <f>TRUNC([CORRETAGEM]*SETUP!$F$3,2)</f>
        <v>0.13</v>
      </c>
      <c r="W33" s="106">
        <f>ROUND([CORRETAGEM]*SETUP!$G$3,2)</f>
        <v>0.27</v>
      </c>
      <c r="X33" s="106">
        <f>[VALOR LÍQUIDO DAS OPERAÇÕES]-[TAXA DE LIQUIDAÇÃO]-[EMOLUMENTOS]-[TAXA DE REGISTRO]-[CORRETAGEM]-[ISS]-IF(['[D/N']]="D",    0,    [OUTRAS BOVESPA]) - [AJUSTE]</f>
        <v>-31.190000000000111</v>
      </c>
      <c r="Y33" s="106">
        <f>IF(AND(['[D/N']]="D",    [T]="CV",    [LÍQUIDO BASE] &gt; 0),    TRUNC([LÍQUIDO BASE]*0.01, 2),    0)</f>
        <v>0</v>
      </c>
      <c r="Z33" s="23">
        <f>IF([PREÇO] &gt; 0,    [LÍQUIDO BASE]-SUMPRODUCT(N([DATA]=NOTAS_80[[#This Row],[DATA]]),    [IRRF FONTE]),    0)</f>
        <v>-31.190000000000111</v>
      </c>
      <c r="AA33" s="110">
        <f>[LÍQUIDO]-SUMPRODUCT(N([DATA]=NOTAS_80[[#This Row],[DATA]]),N([ID]=(NOTAS_80[[#This Row],[ID]]-1)),[LÍQUIDO])</f>
        <v>974.82999999999993</v>
      </c>
      <c r="AB33" s="106">
        <f>IF([T] = "VC", ABS([VALOR OP]) / [QTDE], [VALOR OP]/[QTDE])</f>
        <v>1.6247166666666666</v>
      </c>
      <c r="AC33" s="106">
        <f>TRUNC(IF(OR([T]="CV",[T]="VV"),     N33*SETUP!$H$3,     0),2)</f>
        <v>0.04</v>
      </c>
      <c r="AD33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33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1.6767000000000001</v>
      </c>
      <c r="AF33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1.6247166666666666</v>
      </c>
      <c r="AG33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-31.190000000000097</v>
      </c>
      <c r="AH33" s="106">
        <f>IF([LUCRO TMP] &lt;&gt; 0, [LUCRO TMP] - SUMPRODUCT(N([ATIVO]=NOTAS_80[[#This Row],[ATIVO]]),N(['[D/N']]="N"),N([ID]&lt;NOTAS_80[[#This Row],[ID]]),N([PAR]=NOTAS_80[[#This Row],[PAR]]), [LUCRO TMP]), 0)</f>
        <v>-31.190000000000097</v>
      </c>
      <c r="AI33" s="106">
        <f>IF([U] = "U", SUMPRODUCT(N([ID]&lt;=NOTAS_80[[#This Row],[ID]]),N([DATA BASE]=NOTAS_80[[#This Row],[DATA BASE]]), N(['[D/N']] = "N"),    [LUCRO P/ OP]), 0)</f>
        <v>0</v>
      </c>
      <c r="AJ33" s="106">
        <f>IF([U] = "U", SUMPRODUCT(N([DATA BASE]=NOTAS_80[[#This Row],[DATA BASE]]), N(['[D/N']] = "D"),    [LUCRO P/ OP]), 0)</f>
        <v>0</v>
      </c>
      <c r="AK33" s="106">
        <f>IF([U] = "U", SUMPRODUCT(N([DATA BASE]=NOTAS_80[[#This Row],[DATA BASE]]), N(['[D/N']] = "D"),    [IRRF FONTE]), 0)</f>
        <v>0</v>
      </c>
    </row>
    <row r="34" spans="1:37">
      <c r="A34" s="13">
        <v>33</v>
      </c>
      <c r="B34" s="114"/>
      <c r="C34" s="107" t="s">
        <v>163</v>
      </c>
      <c r="D34" s="107" t="s">
        <v>24</v>
      </c>
      <c r="E34" s="108">
        <v>41171</v>
      </c>
      <c r="F34" s="107">
        <v>400</v>
      </c>
      <c r="G34" s="106">
        <v>1.75</v>
      </c>
      <c r="H34" s="105"/>
      <c r="I34" s="127"/>
      <c r="J34" s="107" t="s">
        <v>14</v>
      </c>
      <c r="K34" s="115">
        <f>WORKDAY(NOTAS_80[[#This Row],[DATA]],1,0)</f>
        <v>41172</v>
      </c>
      <c r="L34" s="117">
        <f>EOMONTH(NOTAS_80[[#This Row],[DATA DE LIQUIDAÇÃO]],0)</f>
        <v>41182</v>
      </c>
      <c r="M34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34" s="116">
        <f>[QTDE]*[PREÇO]</f>
        <v>700</v>
      </c>
      <c r="O34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-700</v>
      </c>
      <c r="P34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0.12</v>
      </c>
      <c r="Q34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0.08</v>
      </c>
      <c r="R34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0.1</v>
      </c>
      <c r="S34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12.99</v>
      </c>
      <c r="T34" s="116">
        <f>TRUNC([CORR BOV] * 20% * IF([PARCIAL] &gt; 0, [QTDE] / [PARCIAL], 1),2)</f>
        <v>2.59</v>
      </c>
      <c r="U34" s="116">
        <f>SUMPRODUCT(N([DATA]=NOTAS_80[[#This Row],[DATA]]),N([ID]&lt;=NOTAS_80[[#This Row],[ID]]), [CORR])</f>
        <v>2.59</v>
      </c>
      <c r="V34" s="116">
        <f>TRUNC([CORRETAGEM]*SETUP!$F$3,2)</f>
        <v>0.05</v>
      </c>
      <c r="W34" s="116">
        <f>ROUND([CORRETAGEM]*SETUP!$G$3,2)</f>
        <v>0.1</v>
      </c>
      <c r="X34" s="116">
        <f>[VALOR LÍQUIDO DAS OPERAÇÕES]-[TAXA DE LIQUIDAÇÃO]-[EMOLUMENTOS]-[TAXA DE REGISTRO]-[CORRETAGEM]-[ISS]-IF(['[D/N']]="D",    0,    [OUTRAS BOVESPA]) - [AJUSTE]</f>
        <v>-702.94</v>
      </c>
      <c r="Y34" s="116">
        <f>IF(AND(['[D/N']]="D",    [T]="CV",    [LÍQUIDO BASE] &gt; 0),    TRUNC([LÍQUIDO BASE]*0.01, 2),    0)</f>
        <v>0</v>
      </c>
      <c r="Z34" s="63">
        <f>IF([PREÇO] &gt; 0,    [LÍQUIDO BASE]-SUMPRODUCT(N([DATA]=NOTAS_80[[#This Row],[DATA]]),    [IRRF FONTE]),    0)</f>
        <v>-702.94</v>
      </c>
      <c r="AA34" s="118">
        <f>[LÍQUIDO]-SUMPRODUCT(N([DATA]=NOTAS_80[[#This Row],[DATA]]),N([ID]=(NOTAS_80[[#This Row],[ID]]-1)),[LÍQUIDO])</f>
        <v>-702.94</v>
      </c>
      <c r="AB34" s="116">
        <f>IF([T] = "VC", ABS([VALOR OP]) / [QTDE], [VALOR OP]/[QTDE])</f>
        <v>-1.7573500000000002</v>
      </c>
      <c r="AC34" s="116">
        <f>TRUNC(IF(OR([T]="CV",[T]="VV"),     N34*SETUP!$H$3,     0),2)</f>
        <v>0</v>
      </c>
      <c r="AD34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34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1.7573500000000002</v>
      </c>
      <c r="AF34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34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34" s="116">
        <f>IF([LUCRO TMP] &lt;&gt; 0, [LUCRO TMP] - SUMPRODUCT(N([ATIVO]=NOTAS_80[[#This Row],[ATIVO]]),N(['[D/N']]="N"),N([ID]&lt;NOTAS_80[[#This Row],[ID]]),N([PAR]=NOTAS_80[[#This Row],[PAR]]), [LUCRO TMP]), 0)</f>
        <v>0</v>
      </c>
      <c r="AI34" s="116">
        <f>IF([U] = "U", SUMPRODUCT(N([ID]&lt;=NOTAS_80[[#This Row],[ID]]),N([DATA BASE]=NOTAS_80[[#This Row],[DATA BASE]]), N(['[D/N']] = "N"),    [LUCRO P/ OP]), 0)</f>
        <v>0</v>
      </c>
      <c r="AJ34" s="116">
        <f>IF([U] = "U", SUMPRODUCT(N([DATA BASE]=NOTAS_80[[#This Row],[DATA BASE]]), N(['[D/N']] = "D"),    [LUCRO P/ OP]), 0)</f>
        <v>0</v>
      </c>
      <c r="AK34" s="116">
        <f>IF([U] = "U", SUMPRODUCT(N([DATA BASE]=NOTAS_80[[#This Row],[DATA BASE]]), N(['[D/N']] = "D"),    [IRRF FONTE]), 0)</f>
        <v>0</v>
      </c>
    </row>
    <row r="35" spans="1:37">
      <c r="A35" s="114">
        <v>34</v>
      </c>
      <c r="B35" s="114"/>
      <c r="C35" s="107" t="s">
        <v>163</v>
      </c>
      <c r="D35" s="114" t="s">
        <v>25</v>
      </c>
      <c r="E35" s="115">
        <v>41171</v>
      </c>
      <c r="F35" s="114">
        <v>400</v>
      </c>
      <c r="G35" s="116">
        <v>1.64</v>
      </c>
      <c r="H35" s="128"/>
      <c r="I35" s="129">
        <v>-0.32</v>
      </c>
      <c r="J35" s="114" t="s">
        <v>14</v>
      </c>
      <c r="K35" s="115">
        <f>WORKDAY(NOTAS_80[[#This Row],[DATA]],1,0)</f>
        <v>41172</v>
      </c>
      <c r="L35" s="117">
        <f>EOMONTH(NOTAS_80[[#This Row],[DATA DE LIQUIDAÇÃO]],0)</f>
        <v>41182</v>
      </c>
      <c r="M35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35" s="116">
        <f>[QTDE]*[PREÇO]</f>
        <v>656</v>
      </c>
      <c r="O35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-44</v>
      </c>
      <c r="P35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0.24</v>
      </c>
      <c r="Q35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0.16</v>
      </c>
      <c r="R35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0.2</v>
      </c>
      <c r="S35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12.33</v>
      </c>
      <c r="T35" s="116">
        <f>TRUNC([CORR BOV] * 20% * IF([PARCIAL] &gt; 0, [QTDE] / [PARCIAL], 1),2)</f>
        <v>2.46</v>
      </c>
      <c r="U35" s="116">
        <f>SUMPRODUCT(N([DATA]=NOTAS_80[[#This Row],[DATA]]),N([ID]&lt;=NOTAS_80[[#This Row],[ID]]), [CORR])</f>
        <v>5.05</v>
      </c>
      <c r="V35" s="116">
        <f>TRUNC([CORRETAGEM]*SETUP!$F$3,2)</f>
        <v>0.1</v>
      </c>
      <c r="W35" s="116">
        <f>ROUND([CORRETAGEM]*SETUP!$G$3,2)</f>
        <v>0.2</v>
      </c>
      <c r="X35" s="116">
        <f>[VALOR LÍQUIDO DAS OPERAÇÕES]-[TAXA DE LIQUIDAÇÃO]-[EMOLUMENTOS]-[TAXA DE REGISTRO]-[CORRETAGEM]-[ISS]-IF(['[D/N']]="D",    0,    [OUTRAS BOVESPA]) - [AJUSTE]</f>
        <v>-49.43</v>
      </c>
      <c r="Y35" s="116">
        <f>IF(AND(['[D/N']]="D",    [T]="CV",    [LÍQUIDO BASE] &gt; 0),    TRUNC([LÍQUIDO BASE]*0.01, 2),    0)</f>
        <v>0</v>
      </c>
      <c r="Z35" s="63">
        <f>IF([PREÇO] &gt; 0,    [LÍQUIDO BASE]-SUMPRODUCT(N([DATA]=NOTAS_80[[#This Row],[DATA]]),    [IRRF FONTE]),    0)</f>
        <v>-49.43</v>
      </c>
      <c r="AA35" s="118">
        <f>[LÍQUIDO]-SUMPRODUCT(N([DATA]=NOTAS_80[[#This Row],[DATA]]),N([ID]=(NOTAS_80[[#This Row],[ID]]-1)),[LÍQUIDO])</f>
        <v>653.5100000000001</v>
      </c>
      <c r="AB35" s="116">
        <f>IF([T] = "VC", ABS([VALOR OP]) / [QTDE], [VALOR OP]/[QTDE])</f>
        <v>1.6337750000000002</v>
      </c>
      <c r="AC35" s="116">
        <f>TRUNC(IF(OR([T]="CV",[T]="VV"),     N35*SETUP!$H$3,     0),2)</f>
        <v>0.03</v>
      </c>
      <c r="AD35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35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1.7573500000000002</v>
      </c>
      <c r="AF35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1.6337750000000002</v>
      </c>
      <c r="AG35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-49.429999999999993</v>
      </c>
      <c r="AH35" s="116">
        <f>IF([LUCRO TMP] &lt;&gt; 0, [LUCRO TMP] - SUMPRODUCT(N([ATIVO]=NOTAS_80[[#This Row],[ATIVO]]),N(['[D/N']]="N"),N([ID]&lt;NOTAS_80[[#This Row],[ID]]),N([PAR]=NOTAS_80[[#This Row],[PAR]]), [LUCRO TMP]), 0)</f>
        <v>-49.429999999999993</v>
      </c>
      <c r="AI35" s="116">
        <f>IF([U] = "U", SUMPRODUCT(N([ID]&lt;=NOTAS_80[[#This Row],[ID]]),N([DATA BASE]=NOTAS_80[[#This Row],[DATA BASE]]), N(['[D/N']] = "N"),    [LUCRO P/ OP]), 0)</f>
        <v>0</v>
      </c>
      <c r="AJ35" s="116">
        <f>IF([U] = "U", SUMPRODUCT(N([DATA BASE]=NOTAS_80[[#This Row],[DATA BASE]]), N(['[D/N']] = "D"),    [LUCRO P/ OP]), 0)</f>
        <v>0</v>
      </c>
      <c r="AK35" s="116">
        <f>IF([U] = "U", SUMPRODUCT(N([DATA BASE]=NOTAS_80[[#This Row],[DATA BASE]]), N(['[D/N']] = "D"),    [IRRF FONTE]), 0)</f>
        <v>0</v>
      </c>
    </row>
    <row r="36" spans="1:37">
      <c r="A36" s="13">
        <v>35</v>
      </c>
      <c r="B36" s="107"/>
      <c r="C36" s="107" t="s">
        <v>164</v>
      </c>
      <c r="D36" s="107" t="s">
        <v>24</v>
      </c>
      <c r="E36" s="108">
        <v>41172</v>
      </c>
      <c r="F36" s="107">
        <v>600</v>
      </c>
      <c r="G36" s="106">
        <v>1.1299999999999999</v>
      </c>
      <c r="H36" s="105"/>
      <c r="I36" s="127"/>
      <c r="J36" s="107" t="s">
        <v>14</v>
      </c>
      <c r="K36" s="108">
        <f>WORKDAY(NOTAS_80[[#This Row],[DATA]],1,0)</f>
        <v>41173</v>
      </c>
      <c r="L36" s="109">
        <f>EOMONTH(NOTAS_80[[#This Row],[DATA DE LIQUIDAÇÃO]],0)</f>
        <v>41182</v>
      </c>
      <c r="M36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36" s="106">
        <f>[QTDE]*[PREÇO]</f>
        <v>677.99999999999989</v>
      </c>
      <c r="O36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-677.99999999999989</v>
      </c>
      <c r="P36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0.12</v>
      </c>
      <c r="Q36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0.08</v>
      </c>
      <c r="R36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0.1</v>
      </c>
      <c r="S36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12.659999999999998</v>
      </c>
      <c r="T36" s="106">
        <f>TRUNC([CORR BOV] * 20% * IF([PARCIAL] &gt; 0, [QTDE] / [PARCIAL], 1),2)</f>
        <v>2.5299999999999998</v>
      </c>
      <c r="U36" s="106">
        <f>SUMPRODUCT(N([DATA]=NOTAS_80[[#This Row],[DATA]]),N([ID]&lt;=NOTAS_80[[#This Row],[ID]]), [CORR])</f>
        <v>2.5299999999999998</v>
      </c>
      <c r="V36" s="106">
        <f>TRUNC([CORRETAGEM]*SETUP!$F$3,2)</f>
        <v>0.05</v>
      </c>
      <c r="W36" s="106">
        <f>ROUND([CORRETAGEM]*SETUP!$G$3,2)</f>
        <v>0.1</v>
      </c>
      <c r="X36" s="106">
        <f>[VALOR LÍQUIDO DAS OPERAÇÕES]-[TAXA DE LIQUIDAÇÃO]-[EMOLUMENTOS]-[TAXA DE REGISTRO]-[CORRETAGEM]-[ISS]-IF(['[D/N']]="D",    0,    [OUTRAS BOVESPA]) - [AJUSTE]</f>
        <v>-680.87999999999988</v>
      </c>
      <c r="Y36" s="106">
        <f>IF(AND(['[D/N']]="D",    [T]="CV",    [LÍQUIDO BASE] &gt; 0),    TRUNC([LÍQUIDO BASE]*0.01, 2),    0)</f>
        <v>0</v>
      </c>
      <c r="Z36" s="23">
        <f>IF([PREÇO] &gt; 0,    [LÍQUIDO BASE]-SUMPRODUCT(N([DATA]=NOTAS_80[[#This Row],[DATA]]),    [IRRF FONTE]),    0)</f>
        <v>-684.07999999999993</v>
      </c>
      <c r="AA36" s="110">
        <f>[LÍQUIDO]-SUMPRODUCT(N([DATA]=NOTAS_80[[#This Row],[DATA]]),N([ID]=(NOTAS_80[[#This Row],[ID]]-1)),[LÍQUIDO])</f>
        <v>-684.07999999999993</v>
      </c>
      <c r="AB36" s="106">
        <f>IF([T] = "VC", ABS([VALOR OP]) / [QTDE], [VALOR OP]/[QTDE])</f>
        <v>-1.1401333333333332</v>
      </c>
      <c r="AC36" s="106">
        <f>TRUNC(IF(OR([T]="CV",[T]="VV"),     N36*SETUP!$H$3,     0),2)</f>
        <v>0</v>
      </c>
      <c r="AD36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36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1.1401333333333332</v>
      </c>
      <c r="AF36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36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36" s="106">
        <f>IF([LUCRO TMP] &lt;&gt; 0, [LUCRO TMP] - SUMPRODUCT(N([ATIVO]=NOTAS_80[[#This Row],[ATIVO]]),N(['[D/N']]="N"),N([ID]&lt;NOTAS_80[[#This Row],[ID]]),N([PAR]=NOTAS_80[[#This Row],[PAR]]), [LUCRO TMP]), 0)</f>
        <v>0</v>
      </c>
      <c r="AI36" s="106">
        <f>IF([U] = "U", SUMPRODUCT(N([ID]&lt;=NOTAS_80[[#This Row],[ID]]),N([DATA BASE]=NOTAS_80[[#This Row],[DATA BASE]]), N(['[D/N']] = "N"),    [LUCRO P/ OP]), 0)</f>
        <v>0</v>
      </c>
      <c r="AJ36" s="106">
        <f>IF([U] = "U", SUMPRODUCT(N([DATA BASE]=NOTAS_80[[#This Row],[DATA BASE]]), N(['[D/N']] = "D"),    [LUCRO P/ OP]), 0)</f>
        <v>0</v>
      </c>
      <c r="AK36" s="106">
        <f>IF([U] = "U", SUMPRODUCT(N([DATA BASE]=NOTAS_80[[#This Row],[DATA BASE]]), N(['[D/N']] = "D"),    [IRRF FONTE]), 0)</f>
        <v>0</v>
      </c>
    </row>
    <row r="37" spans="1:37">
      <c r="A37" s="114">
        <v>36</v>
      </c>
      <c r="B37" s="114"/>
      <c r="C37" s="107" t="s">
        <v>164</v>
      </c>
      <c r="D37" s="114" t="s">
        <v>25</v>
      </c>
      <c r="E37" s="115">
        <v>41172</v>
      </c>
      <c r="F37" s="114">
        <v>600</v>
      </c>
      <c r="G37" s="116">
        <v>1.45</v>
      </c>
      <c r="H37" s="128"/>
      <c r="I37" s="129">
        <v>-0.36</v>
      </c>
      <c r="J37" s="114" t="s">
        <v>14</v>
      </c>
      <c r="K37" s="115">
        <f>WORKDAY(NOTAS_80[[#This Row],[DATA]],1,0)</f>
        <v>41173</v>
      </c>
      <c r="L37" s="117">
        <f>EOMONTH(NOTAS_80[[#This Row],[DATA DE LIQUIDAÇÃO]],0)</f>
        <v>41182</v>
      </c>
      <c r="M37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37" s="116">
        <f>[QTDE]*[PREÇO]</f>
        <v>870</v>
      </c>
      <c r="O37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192.00000000000011</v>
      </c>
      <c r="P37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0.27</v>
      </c>
      <c r="Q37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0.18</v>
      </c>
      <c r="R37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0.23</v>
      </c>
      <c r="S37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15.54</v>
      </c>
      <c r="T37" s="116">
        <f>TRUNC([CORR BOV] * 20% * IF([PARCIAL] &gt; 0, [QTDE] / [PARCIAL], 1),2)</f>
        <v>3.1</v>
      </c>
      <c r="U37" s="116">
        <f>SUMPRODUCT(N([DATA]=NOTAS_80[[#This Row],[DATA]]),N([ID]&lt;=NOTAS_80[[#This Row],[ID]]), [CORR])</f>
        <v>5.63</v>
      </c>
      <c r="V37" s="116">
        <f>TRUNC([CORRETAGEM]*SETUP!$F$3,2)</f>
        <v>0.11</v>
      </c>
      <c r="W37" s="116">
        <f>ROUND([CORRETAGEM]*SETUP!$G$3,2)</f>
        <v>0.22</v>
      </c>
      <c r="X37" s="116">
        <f>[VALOR LÍQUIDO DAS OPERAÇÕES]-[TAXA DE LIQUIDAÇÃO]-[EMOLUMENTOS]-[TAXA DE REGISTRO]-[CORRETAGEM]-[ISS]-IF(['[D/N']]="D",    0,    [OUTRAS BOVESPA]) - [AJUSTE]</f>
        <v>185.94000000000011</v>
      </c>
      <c r="Y37" s="116">
        <f>IF(AND(['[D/N']]="D",    [T]="CV",    [LÍQUIDO BASE] &gt; 0),    TRUNC([LÍQUIDO BASE]*0.01, 2),    0)</f>
        <v>1.85</v>
      </c>
      <c r="Z37" s="63">
        <f>IF([PREÇO] &gt; 0,    [LÍQUIDO BASE]-SUMPRODUCT(N([DATA]=NOTAS_80[[#This Row],[DATA]]),    [IRRF FONTE]),    0)</f>
        <v>182.74000000000012</v>
      </c>
      <c r="AA37" s="118">
        <f>[LÍQUIDO]-SUMPRODUCT(N([DATA]=NOTAS_80[[#This Row],[DATA]]),N([ID]=(NOTAS_80[[#This Row],[ID]]-1)),[LÍQUIDO])</f>
        <v>866.82</v>
      </c>
      <c r="AB37" s="116">
        <f>IF([T] = "VC", ABS([VALOR OP]) / [QTDE], [VALOR OP]/[QTDE])</f>
        <v>1.4447000000000001</v>
      </c>
      <c r="AC37" s="116">
        <f>TRUNC(IF(OR([T]="CV",[T]="VV"),     N37*SETUP!$H$3,     0),2)</f>
        <v>0.04</v>
      </c>
      <c r="AD37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37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1.1401333333333332</v>
      </c>
      <c r="AF37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1.4447000000000001</v>
      </c>
      <c r="AG37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184.59000000000012</v>
      </c>
      <c r="AH37" s="116">
        <f>IF([LUCRO TMP] &lt;&gt; 0, [LUCRO TMP] - SUMPRODUCT(N([ATIVO]=NOTAS_80[[#This Row],[ATIVO]]),N(['[D/N']]="N"),N([ID]&lt;NOTAS_80[[#This Row],[ID]]),N([PAR]=NOTAS_80[[#This Row],[PAR]]), [LUCRO TMP]), 0)</f>
        <v>184.59000000000012</v>
      </c>
      <c r="AI37" s="116">
        <f>IF([U] = "U", SUMPRODUCT(N([ID]&lt;=NOTAS_80[[#This Row],[ID]]),N([DATA BASE]=NOTAS_80[[#This Row],[DATA BASE]]), N(['[D/N']] = "N"),    [LUCRO P/ OP]), 0)</f>
        <v>0</v>
      </c>
      <c r="AJ37" s="116">
        <f>IF([U] = "U", SUMPRODUCT(N([DATA BASE]=NOTAS_80[[#This Row],[DATA BASE]]), N(['[D/N']] = "D"),    [LUCRO P/ OP]), 0)</f>
        <v>0</v>
      </c>
      <c r="AK37" s="116">
        <f>IF([U] = "U", SUMPRODUCT(N([DATA BASE]=NOTAS_80[[#This Row],[DATA BASE]]), N(['[D/N']] = "D"),    [IRRF FONTE]), 0)</f>
        <v>0</v>
      </c>
    </row>
    <row r="38" spans="1:37">
      <c r="A38" s="13">
        <v>37</v>
      </c>
      <c r="B38" s="107"/>
      <c r="C38" s="107" t="s">
        <v>165</v>
      </c>
      <c r="D38" s="107" t="s">
        <v>24</v>
      </c>
      <c r="E38" s="108">
        <v>41172</v>
      </c>
      <c r="F38" s="107">
        <v>700</v>
      </c>
      <c r="G38" s="106">
        <v>1.5</v>
      </c>
      <c r="H38" s="105"/>
      <c r="I38" s="127"/>
      <c r="J38" s="107" t="s">
        <v>14</v>
      </c>
      <c r="K38" s="108">
        <f>WORKDAY(NOTAS_80[[#This Row],[DATA]],1,0)</f>
        <v>41173</v>
      </c>
      <c r="L38" s="109">
        <f>EOMONTH(NOTAS_80[[#This Row],[DATA DE LIQUIDAÇÃO]],0)</f>
        <v>41182</v>
      </c>
      <c r="M38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38" s="106">
        <f>[QTDE]*[PREÇO]</f>
        <v>1050</v>
      </c>
      <c r="O38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-858</v>
      </c>
      <c r="P38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0.46</v>
      </c>
      <c r="Q38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0.31</v>
      </c>
      <c r="R38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0.38</v>
      </c>
      <c r="S38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18.240000000000002</v>
      </c>
      <c r="T38" s="106">
        <f>TRUNC([CORR BOV] * 20% * IF([PARCIAL] &gt; 0, [QTDE] / [PARCIAL], 1),2)</f>
        <v>3.64</v>
      </c>
      <c r="U38" s="106">
        <f>SUMPRODUCT(N([DATA]=NOTAS_80[[#This Row],[DATA]]),N([ID]&lt;=NOTAS_80[[#This Row],[ID]]), [CORR])</f>
        <v>9.27</v>
      </c>
      <c r="V38" s="106">
        <f>TRUNC([CORRETAGEM]*SETUP!$F$3,2)</f>
        <v>0.18</v>
      </c>
      <c r="W38" s="106">
        <f>ROUND([CORRETAGEM]*SETUP!$G$3,2)</f>
        <v>0.36</v>
      </c>
      <c r="X38" s="106">
        <f>[VALOR LÍQUIDO DAS OPERAÇÕES]-[TAXA DE LIQUIDAÇÃO]-[EMOLUMENTOS]-[TAXA DE REGISTRO]-[CORRETAGEM]-[ISS]-IF(['[D/N']]="D",    0,    [OUTRAS BOVESPA]) - [AJUSTE]</f>
        <v>-868.59999999999991</v>
      </c>
      <c r="Y38" s="106">
        <f>IF(AND(['[D/N']]="D",    [T]="CV",    [LÍQUIDO BASE] &gt; 0),    TRUNC([LÍQUIDO BASE]*0.01, 2),    0)</f>
        <v>0</v>
      </c>
      <c r="Z38" s="23">
        <f>IF([PREÇO] &gt; 0,    [LÍQUIDO BASE]-SUMPRODUCT(N([DATA]=NOTAS_80[[#This Row],[DATA]]),    [IRRF FONTE]),    0)</f>
        <v>-871.8</v>
      </c>
      <c r="AA38" s="110">
        <f>[LÍQUIDO]-SUMPRODUCT(N([DATA]=NOTAS_80[[#This Row],[DATA]]),N([ID]=(NOTAS_80[[#This Row],[ID]]-1)),[LÍQUIDO])</f>
        <v>-1054.54</v>
      </c>
      <c r="AB38" s="106">
        <f>IF([T] = "VC", ABS([VALOR OP]) / [QTDE], [VALOR OP]/[QTDE])</f>
        <v>-1.5064857142857142</v>
      </c>
      <c r="AC38" s="106">
        <f>TRUNC(IF(OR([T]="CV",[T]="VV"),     N38*SETUP!$H$3,     0),2)</f>
        <v>0</v>
      </c>
      <c r="AD38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38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1.5064857142857142</v>
      </c>
      <c r="AF38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38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38" s="106">
        <f>IF([LUCRO TMP] &lt;&gt; 0, [LUCRO TMP] - SUMPRODUCT(N([ATIVO]=NOTAS_80[[#This Row],[ATIVO]]),N(['[D/N']]="N"),N([ID]&lt;NOTAS_80[[#This Row],[ID]]),N([PAR]=NOTAS_80[[#This Row],[PAR]]), [LUCRO TMP]), 0)</f>
        <v>0</v>
      </c>
      <c r="AI38" s="106">
        <f>IF([U] = "U", SUMPRODUCT(N([ID]&lt;=NOTAS_80[[#This Row],[ID]]),N([DATA BASE]=NOTAS_80[[#This Row],[DATA BASE]]), N(['[D/N']] = "N"),    [LUCRO P/ OP]), 0)</f>
        <v>0</v>
      </c>
      <c r="AJ38" s="106">
        <f>IF([U] = "U", SUMPRODUCT(N([DATA BASE]=NOTAS_80[[#This Row],[DATA BASE]]), N(['[D/N']] = "D"),    [LUCRO P/ OP]), 0)</f>
        <v>0</v>
      </c>
      <c r="AK38" s="106">
        <f>IF([U] = "U", SUMPRODUCT(N([DATA BASE]=NOTAS_80[[#This Row],[DATA BASE]]), N(['[D/N']] = "D"),    [IRRF FONTE]), 0)</f>
        <v>0</v>
      </c>
    </row>
    <row r="39" spans="1:37">
      <c r="A39" s="114">
        <v>38</v>
      </c>
      <c r="B39" s="114"/>
      <c r="C39" s="107" t="s">
        <v>165</v>
      </c>
      <c r="D39" s="114" t="s">
        <v>25</v>
      </c>
      <c r="E39" s="115">
        <v>41172</v>
      </c>
      <c r="F39" s="114">
        <v>700</v>
      </c>
      <c r="G39" s="116">
        <v>1.44</v>
      </c>
      <c r="H39" s="128"/>
      <c r="I39" s="129"/>
      <c r="J39" s="114" t="s">
        <v>14</v>
      </c>
      <c r="K39" s="115">
        <f>WORKDAY(NOTAS_80[[#This Row],[DATA]],1,0)</f>
        <v>41173</v>
      </c>
      <c r="L39" s="117">
        <f>EOMONTH(NOTAS_80[[#This Row],[DATA DE LIQUIDAÇÃO]],0)</f>
        <v>41182</v>
      </c>
      <c r="M39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39" s="116">
        <f>[QTDE]*[PREÇO]</f>
        <v>1008</v>
      </c>
      <c r="O39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150</v>
      </c>
      <c r="P39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0.64</v>
      </c>
      <c r="Q39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0.43</v>
      </c>
      <c r="R39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0.54</v>
      </c>
      <c r="S39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17.61</v>
      </c>
      <c r="T39" s="116">
        <f>TRUNC([CORR BOV] * 20% * IF([PARCIAL] &gt; 0, [QTDE] / [PARCIAL], 1),2)</f>
        <v>3.52</v>
      </c>
      <c r="U39" s="116">
        <f>SUMPRODUCT(N([DATA]=NOTAS_80[[#This Row],[DATA]]),N([ID]&lt;=NOTAS_80[[#This Row],[ID]]), [CORR])</f>
        <v>12.79</v>
      </c>
      <c r="V39" s="116">
        <f>TRUNC([CORRETAGEM]*SETUP!$F$3,2)</f>
        <v>0.25</v>
      </c>
      <c r="W39" s="116">
        <f>ROUND([CORRETAGEM]*SETUP!$G$3,2)</f>
        <v>0.5</v>
      </c>
      <c r="X39" s="116">
        <f>[VALOR LÍQUIDO DAS OPERAÇÕES]-[TAXA DE LIQUIDAÇÃO]-[EMOLUMENTOS]-[TAXA DE REGISTRO]-[CORRETAGEM]-[ISS]-IF(['[D/N']]="D",    0,    [OUTRAS BOVESPA]) - [AJUSTE]</f>
        <v>135.35000000000002</v>
      </c>
      <c r="Y39" s="116">
        <f>IF(AND(['[D/N']]="D",    [T]="CV",    [LÍQUIDO BASE] &gt; 0),    TRUNC([LÍQUIDO BASE]*0.01, 2),    0)</f>
        <v>1.35</v>
      </c>
      <c r="Z39" s="63">
        <f>IF([PREÇO] &gt; 0,    [LÍQUIDO BASE]-SUMPRODUCT(N([DATA]=NOTAS_80[[#This Row],[DATA]]),    [IRRF FONTE]),    0)</f>
        <v>132.15000000000003</v>
      </c>
      <c r="AA39" s="118">
        <f>[LÍQUIDO]-SUMPRODUCT(N([DATA]=NOTAS_80[[#This Row],[DATA]]),N([ID]=(NOTAS_80[[#This Row],[ID]]-1)),[LÍQUIDO])</f>
        <v>1003.95</v>
      </c>
      <c r="AB39" s="116">
        <f>IF([T] = "VC", ABS([VALOR OP]) / [QTDE], [VALOR OP]/[QTDE])</f>
        <v>1.4342142857142859</v>
      </c>
      <c r="AC39" s="116">
        <f>TRUNC(IF(OR([T]="CV",[T]="VV"),     N39*SETUP!$H$3,     0),2)</f>
        <v>0.05</v>
      </c>
      <c r="AD39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39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1.5064857142857142</v>
      </c>
      <c r="AF39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1.4342142857142859</v>
      </c>
      <c r="AG39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-49.239999999999824</v>
      </c>
      <c r="AH39" s="116">
        <f>IF([LUCRO TMP] &lt;&gt; 0, [LUCRO TMP] - SUMPRODUCT(N([ATIVO]=NOTAS_80[[#This Row],[ATIVO]]),N(['[D/N']]="N"),N([ID]&lt;NOTAS_80[[#This Row],[ID]]),N([PAR]=NOTAS_80[[#This Row],[PAR]]), [LUCRO TMP]), 0)</f>
        <v>-49.239999999999824</v>
      </c>
      <c r="AI39" s="116">
        <f>IF([U] = "U", SUMPRODUCT(N([ID]&lt;=NOTAS_80[[#This Row],[ID]]),N([DATA BASE]=NOTAS_80[[#This Row],[DATA BASE]]), N(['[D/N']] = "N"),    [LUCRO P/ OP]), 0)</f>
        <v>0</v>
      </c>
      <c r="AJ39" s="116">
        <f>IF([U] = "U", SUMPRODUCT(N([DATA BASE]=NOTAS_80[[#This Row],[DATA BASE]]), N(['[D/N']] = "D"),    [LUCRO P/ OP]), 0)</f>
        <v>0</v>
      </c>
      <c r="AK39" s="116">
        <f>IF([U] = "U", SUMPRODUCT(N([DATA BASE]=NOTAS_80[[#This Row],[DATA BASE]]), N(['[D/N']] = "D"),    [IRRF FONTE]), 0)</f>
        <v>0</v>
      </c>
    </row>
    <row r="40" spans="1:37">
      <c r="A40" s="13">
        <v>39</v>
      </c>
      <c r="B40" s="107"/>
      <c r="C40" s="107" t="s">
        <v>166</v>
      </c>
      <c r="D40" s="107" t="s">
        <v>24</v>
      </c>
      <c r="E40" s="108">
        <v>41176</v>
      </c>
      <c r="F40" s="107">
        <v>700</v>
      </c>
      <c r="G40" s="106">
        <v>1.23</v>
      </c>
      <c r="H40" s="105"/>
      <c r="I40" s="127"/>
      <c r="J40" s="107" t="s">
        <v>14</v>
      </c>
      <c r="K40" s="108">
        <f>WORKDAY(NOTAS_80[[#This Row],[DATA]],1,0)</f>
        <v>41177</v>
      </c>
      <c r="L40" s="109">
        <f>EOMONTH(NOTAS_80[[#This Row],[DATA DE LIQUIDAÇÃO]],0)</f>
        <v>41182</v>
      </c>
      <c r="M40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40" s="106">
        <f>[QTDE]*[PREÇO]</f>
        <v>861</v>
      </c>
      <c r="O40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-861</v>
      </c>
      <c r="P40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0.15</v>
      </c>
      <c r="Q40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0.1</v>
      </c>
      <c r="R40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0.12</v>
      </c>
      <c r="S40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15.404999999999999</v>
      </c>
      <c r="T40" s="106">
        <f>TRUNC([CORR BOV] * 20% * IF([PARCIAL] &gt; 0, [QTDE] / [PARCIAL], 1),2)</f>
        <v>3.08</v>
      </c>
      <c r="U40" s="106">
        <f>SUMPRODUCT(N([DATA]=NOTAS_80[[#This Row],[DATA]]),N([ID]&lt;=NOTAS_80[[#This Row],[ID]]), [CORR])</f>
        <v>3.08</v>
      </c>
      <c r="V40" s="106">
        <f>TRUNC([CORRETAGEM]*SETUP!$F$3,2)</f>
        <v>0.06</v>
      </c>
      <c r="W40" s="106">
        <f>ROUND([CORRETAGEM]*SETUP!$G$3,2)</f>
        <v>0.12</v>
      </c>
      <c r="X40" s="106">
        <f>[VALOR LÍQUIDO DAS OPERAÇÕES]-[TAXA DE LIQUIDAÇÃO]-[EMOLUMENTOS]-[TAXA DE REGISTRO]-[CORRETAGEM]-[ISS]-IF(['[D/N']]="D",    0,    [OUTRAS BOVESPA]) - [AJUSTE]</f>
        <v>-864.51</v>
      </c>
      <c r="Y40" s="106">
        <f>IF(AND(['[D/N']]="D",    [T]="CV",    [LÍQUIDO BASE] &gt; 0),    TRUNC([LÍQUIDO BASE]*0.01, 2),    0)</f>
        <v>0</v>
      </c>
      <c r="Z40" s="23">
        <f>IF([PREÇO] &gt; 0,    [LÍQUIDO BASE]-SUMPRODUCT(N([DATA]=NOTAS_80[[#This Row],[DATA]]),    [IRRF FONTE]),    0)</f>
        <v>-864.51</v>
      </c>
      <c r="AA40" s="110">
        <f>[LÍQUIDO]-SUMPRODUCT(N([DATA]=NOTAS_80[[#This Row],[DATA]]),N([ID]=(NOTAS_80[[#This Row],[ID]]-1)),[LÍQUIDO])</f>
        <v>-864.51</v>
      </c>
      <c r="AB40" s="106">
        <f>IF([T] = "VC", ABS([VALOR OP]) / [QTDE], [VALOR OP]/[QTDE])</f>
        <v>-1.2350142857142856</v>
      </c>
      <c r="AC40" s="106">
        <f>TRUNC(IF(OR([T]="CV",[T]="VV"),     N40*SETUP!$H$3,     0),2)</f>
        <v>0</v>
      </c>
      <c r="AD40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40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1.2350142857142856</v>
      </c>
      <c r="AF40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40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40" s="106">
        <f>IF([LUCRO TMP] &lt;&gt; 0, [LUCRO TMP] - SUMPRODUCT(N([ATIVO]=NOTAS_80[[#This Row],[ATIVO]]),N(['[D/N']]="N"),N([ID]&lt;NOTAS_80[[#This Row],[ID]]),N([PAR]=NOTAS_80[[#This Row],[PAR]]), [LUCRO TMP]), 0)</f>
        <v>0</v>
      </c>
      <c r="AI40" s="106">
        <f>IF([U] = "U", SUMPRODUCT(N([ID]&lt;=NOTAS_80[[#This Row],[ID]]),N([DATA BASE]=NOTAS_80[[#This Row],[DATA BASE]]), N(['[D/N']] = "N"),    [LUCRO P/ OP]), 0)</f>
        <v>0</v>
      </c>
      <c r="AJ40" s="106">
        <f>IF([U] = "U", SUMPRODUCT(N([DATA BASE]=NOTAS_80[[#This Row],[DATA BASE]]), N(['[D/N']] = "D"),    [LUCRO P/ OP]), 0)</f>
        <v>0</v>
      </c>
      <c r="AK40" s="106">
        <f>IF([U] = "U", SUMPRODUCT(N([DATA BASE]=NOTAS_80[[#This Row],[DATA BASE]]), N(['[D/N']] = "D"),    [IRRF FONTE]), 0)</f>
        <v>0</v>
      </c>
    </row>
    <row r="41" spans="1:37">
      <c r="A41" s="114">
        <v>40</v>
      </c>
      <c r="B41" s="114"/>
      <c r="C41" s="107" t="s">
        <v>166</v>
      </c>
      <c r="D41" s="114" t="s">
        <v>25</v>
      </c>
      <c r="E41" s="115">
        <v>41176</v>
      </c>
      <c r="F41" s="114">
        <v>700</v>
      </c>
      <c r="G41" s="116">
        <v>1.17</v>
      </c>
      <c r="H41" s="128"/>
      <c r="I41" s="129"/>
      <c r="J41" s="114" t="s">
        <v>14</v>
      </c>
      <c r="K41" s="115">
        <f>WORKDAY(NOTAS_80[[#This Row],[DATA]],1,0)</f>
        <v>41177</v>
      </c>
      <c r="L41" s="117">
        <f>EOMONTH(NOTAS_80[[#This Row],[DATA DE LIQUIDAÇÃO]],0)</f>
        <v>41182</v>
      </c>
      <c r="M41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41" s="116">
        <f>[QTDE]*[PREÇO]</f>
        <v>819</v>
      </c>
      <c r="O41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-42</v>
      </c>
      <c r="P41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0.3</v>
      </c>
      <c r="Q41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0.2</v>
      </c>
      <c r="R41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0.25</v>
      </c>
      <c r="S41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14.775</v>
      </c>
      <c r="T41" s="116">
        <f>TRUNC([CORR BOV] * 20% * IF([PARCIAL] &gt; 0, [QTDE] / [PARCIAL], 1),2)</f>
        <v>2.95</v>
      </c>
      <c r="U41" s="116">
        <f>SUMPRODUCT(N([DATA]=NOTAS_80[[#This Row],[DATA]]),N([ID]&lt;=NOTAS_80[[#This Row],[ID]]), [CORR])</f>
        <v>6.03</v>
      </c>
      <c r="V41" s="116">
        <f>TRUNC([CORRETAGEM]*SETUP!$F$3,2)</f>
        <v>0.12</v>
      </c>
      <c r="W41" s="116">
        <f>ROUND([CORRETAGEM]*SETUP!$G$3,2)</f>
        <v>0.24</v>
      </c>
      <c r="X41" s="116">
        <f>[VALOR LÍQUIDO DAS OPERAÇÕES]-[TAXA DE LIQUIDAÇÃO]-[EMOLUMENTOS]-[TAXA DE REGISTRO]-[CORRETAGEM]-[ISS]-IF(['[D/N']]="D",    0,    [OUTRAS BOVESPA]) - [AJUSTE]</f>
        <v>-48.9</v>
      </c>
      <c r="Y41" s="116">
        <f>IF(AND(['[D/N']]="D",    [T]="CV",    [LÍQUIDO BASE] &gt; 0),    TRUNC([LÍQUIDO BASE]*0.01, 2),    0)</f>
        <v>0</v>
      </c>
      <c r="Z41" s="63">
        <f>IF([PREÇO] &gt; 0,    [LÍQUIDO BASE]-SUMPRODUCT(N([DATA]=NOTAS_80[[#This Row],[DATA]]),    [IRRF FONTE]),    0)</f>
        <v>-48.9</v>
      </c>
      <c r="AA41" s="118">
        <f>[LÍQUIDO]-SUMPRODUCT(N([DATA]=NOTAS_80[[#This Row],[DATA]]),N([ID]=(NOTAS_80[[#This Row],[ID]]-1)),[LÍQUIDO])</f>
        <v>815.61</v>
      </c>
      <c r="AB41" s="116">
        <f>IF([T] = "VC", ABS([VALOR OP]) / [QTDE], [VALOR OP]/[QTDE])</f>
        <v>1.1651571428571428</v>
      </c>
      <c r="AC41" s="116">
        <f>TRUNC(IF(OR([T]="CV",[T]="VV"),     N41*SETUP!$H$3,     0),2)</f>
        <v>0.04</v>
      </c>
      <c r="AD41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41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1.2350142857142856</v>
      </c>
      <c r="AF41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1.1651571428571428</v>
      </c>
      <c r="AG41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-48.899999999999991</v>
      </c>
      <c r="AH41" s="116">
        <f>IF([LUCRO TMP] &lt;&gt; 0, [LUCRO TMP] - SUMPRODUCT(N([ATIVO]=NOTAS_80[[#This Row],[ATIVO]]),N(['[D/N']]="N"),N([ID]&lt;NOTAS_80[[#This Row],[ID]]),N([PAR]=NOTAS_80[[#This Row],[PAR]]), [LUCRO TMP]), 0)</f>
        <v>-48.899999999999991</v>
      </c>
      <c r="AI41" s="116">
        <f>IF([U] = "U", SUMPRODUCT(N([ID]&lt;=NOTAS_80[[#This Row],[ID]]),N([DATA BASE]=NOTAS_80[[#This Row],[DATA BASE]]), N(['[D/N']] = "N"),    [LUCRO P/ OP]), 0)</f>
        <v>0</v>
      </c>
      <c r="AJ41" s="116">
        <f>IF([U] = "U", SUMPRODUCT(N([DATA BASE]=NOTAS_80[[#This Row],[DATA BASE]]), N(['[D/N']] = "D"),    [LUCRO P/ OP]), 0)</f>
        <v>0</v>
      </c>
      <c r="AK41" s="116">
        <f>IF([U] = "U", SUMPRODUCT(N([DATA BASE]=NOTAS_80[[#This Row],[DATA BASE]]), N(['[D/N']] = "D"),    [IRRF FONTE]), 0)</f>
        <v>0</v>
      </c>
    </row>
    <row r="42" spans="1:37">
      <c r="A42" s="13">
        <v>41</v>
      </c>
      <c r="B42" s="107"/>
      <c r="C42" s="107" t="s">
        <v>167</v>
      </c>
      <c r="D42" s="107" t="s">
        <v>24</v>
      </c>
      <c r="E42" s="108">
        <v>41176</v>
      </c>
      <c r="F42" s="107">
        <v>700</v>
      </c>
      <c r="G42" s="106">
        <v>1.35</v>
      </c>
      <c r="H42" s="105"/>
      <c r="I42" s="127"/>
      <c r="J42" s="107" t="s">
        <v>14</v>
      </c>
      <c r="K42" s="108">
        <f>WORKDAY(NOTAS_80[[#This Row],[DATA]],1,0)</f>
        <v>41177</v>
      </c>
      <c r="L42" s="109">
        <f>EOMONTH(NOTAS_80[[#This Row],[DATA DE LIQUIDAÇÃO]],0)</f>
        <v>41182</v>
      </c>
      <c r="M42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42" s="106">
        <f>[QTDE]*[PREÇO]</f>
        <v>945.00000000000011</v>
      </c>
      <c r="O42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-987</v>
      </c>
      <c r="P42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0.47</v>
      </c>
      <c r="Q42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0.31</v>
      </c>
      <c r="R42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0.39</v>
      </c>
      <c r="S42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16.664999999999999</v>
      </c>
      <c r="T42" s="106">
        <f>TRUNC([CORR BOV] * 20% * IF([PARCIAL] &gt; 0, [QTDE] / [PARCIAL], 1),2)</f>
        <v>3.33</v>
      </c>
      <c r="U42" s="106">
        <f>SUMPRODUCT(N([DATA]=NOTAS_80[[#This Row],[DATA]]),N([ID]&lt;=NOTAS_80[[#This Row],[ID]]), [CORR])</f>
        <v>9.36</v>
      </c>
      <c r="V42" s="106">
        <f>TRUNC([CORRETAGEM]*SETUP!$F$3,2)</f>
        <v>0.18</v>
      </c>
      <c r="W42" s="106">
        <f>ROUND([CORRETAGEM]*SETUP!$G$3,2)</f>
        <v>0.37</v>
      </c>
      <c r="X42" s="106">
        <f>[VALOR LÍQUIDO DAS OPERAÇÕES]-[TAXA DE LIQUIDAÇÃO]-[EMOLUMENTOS]-[TAXA DE REGISTRO]-[CORRETAGEM]-[ISS]-IF(['[D/N']]="D",    0,    [OUTRAS BOVESPA]) - [AJUSTE]</f>
        <v>-997.70999999999992</v>
      </c>
      <c r="Y42" s="106">
        <f>IF(AND(['[D/N']]="D",    [T]="CV",    [LÍQUIDO BASE] &gt; 0),    TRUNC([LÍQUIDO BASE]*0.01, 2),    0)</f>
        <v>0</v>
      </c>
      <c r="Z42" s="23">
        <f>IF([PREÇO] &gt; 0,    [LÍQUIDO BASE]-SUMPRODUCT(N([DATA]=NOTAS_80[[#This Row],[DATA]]),    [IRRF FONTE]),    0)</f>
        <v>-997.70999999999992</v>
      </c>
      <c r="AA42" s="110">
        <f>[LÍQUIDO]-SUMPRODUCT(N([DATA]=NOTAS_80[[#This Row],[DATA]]),N([ID]=(NOTAS_80[[#This Row],[ID]]-1)),[LÍQUIDO])</f>
        <v>-948.81</v>
      </c>
      <c r="AB42" s="106">
        <f>IF([T] = "VC", ABS([VALOR OP]) / [QTDE], [VALOR OP]/[QTDE])</f>
        <v>-1.3554428571428572</v>
      </c>
      <c r="AC42" s="106">
        <f>TRUNC(IF(OR([T]="CV",[T]="VV"),     N42*SETUP!$H$3,     0),2)</f>
        <v>0</v>
      </c>
      <c r="AD42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42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1.3554428571428572</v>
      </c>
      <c r="AF42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42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42" s="106">
        <f>IF([LUCRO TMP] &lt;&gt; 0, [LUCRO TMP] - SUMPRODUCT(N([ATIVO]=NOTAS_80[[#This Row],[ATIVO]]),N(['[D/N']]="N"),N([ID]&lt;NOTAS_80[[#This Row],[ID]]),N([PAR]=NOTAS_80[[#This Row],[PAR]]), [LUCRO TMP]), 0)</f>
        <v>0</v>
      </c>
      <c r="AI42" s="106">
        <f>IF([U] = "U", SUMPRODUCT(N([ID]&lt;=NOTAS_80[[#This Row],[ID]]),N([DATA BASE]=NOTAS_80[[#This Row],[DATA BASE]]), N(['[D/N']] = "N"),    [LUCRO P/ OP]), 0)</f>
        <v>0</v>
      </c>
      <c r="AJ42" s="106">
        <f>IF([U] = "U", SUMPRODUCT(N([DATA BASE]=NOTAS_80[[#This Row],[DATA BASE]]), N(['[D/N']] = "D"),    [LUCRO P/ OP]), 0)</f>
        <v>0</v>
      </c>
      <c r="AK42" s="106">
        <f>IF([U] = "U", SUMPRODUCT(N([DATA BASE]=NOTAS_80[[#This Row],[DATA BASE]]), N(['[D/N']] = "D"),    [IRRF FONTE]), 0)</f>
        <v>0</v>
      </c>
    </row>
    <row r="43" spans="1:37">
      <c r="A43" s="114">
        <v>42</v>
      </c>
      <c r="B43" s="114"/>
      <c r="C43" s="107" t="s">
        <v>167</v>
      </c>
      <c r="D43" s="114" t="s">
        <v>25</v>
      </c>
      <c r="E43" s="115">
        <v>41176</v>
      </c>
      <c r="F43" s="114">
        <v>700</v>
      </c>
      <c r="G43" s="116">
        <v>1.24</v>
      </c>
      <c r="H43" s="128"/>
      <c r="I43" s="129"/>
      <c r="J43" s="114" t="s">
        <v>14</v>
      </c>
      <c r="K43" s="115">
        <f>WORKDAY(NOTAS_80[[#This Row],[DATA]],1,0)</f>
        <v>41177</v>
      </c>
      <c r="L43" s="117">
        <f>EOMONTH(NOTAS_80[[#This Row],[DATA DE LIQUIDAÇÃO]],0)</f>
        <v>41182</v>
      </c>
      <c r="M43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43" s="116">
        <f>[QTDE]*[PREÇO]</f>
        <v>868</v>
      </c>
      <c r="O43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-119</v>
      </c>
      <c r="P43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0.62</v>
      </c>
      <c r="Q43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0.41</v>
      </c>
      <c r="R43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0.52</v>
      </c>
      <c r="S43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15.51</v>
      </c>
      <c r="T43" s="116">
        <f>TRUNC([CORR BOV] * 20% * IF([PARCIAL] &gt; 0, [QTDE] / [PARCIAL], 1),2)</f>
        <v>3.1</v>
      </c>
      <c r="U43" s="116">
        <f>SUMPRODUCT(N([DATA]=NOTAS_80[[#This Row],[DATA]]),N([ID]&lt;=NOTAS_80[[#This Row],[ID]]), [CORR])</f>
        <v>12.459999999999999</v>
      </c>
      <c r="V43" s="116">
        <f>TRUNC([CORRETAGEM]*SETUP!$F$3,2)</f>
        <v>0.24</v>
      </c>
      <c r="W43" s="116">
        <f>ROUND([CORRETAGEM]*SETUP!$G$3,2)</f>
        <v>0.49</v>
      </c>
      <c r="X43" s="116">
        <f>[VALOR LÍQUIDO DAS OPERAÇÕES]-[TAXA DE LIQUIDAÇÃO]-[EMOLUMENTOS]-[TAXA DE REGISTRO]-[CORRETAGEM]-[ISS]-IF(['[D/N']]="D",    0,    [OUTRAS BOVESPA]) - [AJUSTE]</f>
        <v>-133.25</v>
      </c>
      <c r="Y43" s="116">
        <f>IF(AND(['[D/N']]="D",    [T]="CV",    [LÍQUIDO BASE] &gt; 0),    TRUNC([LÍQUIDO BASE]*0.01, 2),    0)</f>
        <v>0</v>
      </c>
      <c r="Z43" s="63">
        <f>IF([PREÇO] &gt; 0,    [LÍQUIDO BASE]-SUMPRODUCT(N([DATA]=NOTAS_80[[#This Row],[DATA]]),    [IRRF FONTE]),    0)</f>
        <v>-133.25</v>
      </c>
      <c r="AA43" s="118">
        <f>[LÍQUIDO]-SUMPRODUCT(N([DATA]=NOTAS_80[[#This Row],[DATA]]),N([ID]=(NOTAS_80[[#This Row],[ID]]-1)),[LÍQUIDO])</f>
        <v>864.45999999999992</v>
      </c>
      <c r="AB43" s="116">
        <f>IF([T] = "VC", ABS([VALOR OP]) / [QTDE], [VALOR OP]/[QTDE])</f>
        <v>1.2349428571428571</v>
      </c>
      <c r="AC43" s="116">
        <f>TRUNC(IF(OR([T]="CV",[T]="VV"),     N43*SETUP!$H$3,     0),2)</f>
        <v>0.04</v>
      </c>
      <c r="AD43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43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1.3554428571428572</v>
      </c>
      <c r="AF43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1.2349428571428571</v>
      </c>
      <c r="AG43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-84.350000000000037</v>
      </c>
      <c r="AH43" s="116">
        <f>IF([LUCRO TMP] &lt;&gt; 0, [LUCRO TMP] - SUMPRODUCT(N([ATIVO]=NOTAS_80[[#This Row],[ATIVO]]),N(['[D/N']]="N"),N([ID]&lt;NOTAS_80[[#This Row],[ID]]),N([PAR]=NOTAS_80[[#This Row],[PAR]]), [LUCRO TMP]), 0)</f>
        <v>-84.350000000000037</v>
      </c>
      <c r="AI43" s="116">
        <f>IF([U] = "U", SUMPRODUCT(N([ID]&lt;=NOTAS_80[[#This Row],[ID]]),N([DATA BASE]=NOTAS_80[[#This Row],[DATA BASE]]), N(['[D/N']] = "N"),    [LUCRO P/ OP]), 0)</f>
        <v>0</v>
      </c>
      <c r="AJ43" s="116">
        <f>IF([U] = "U", SUMPRODUCT(N([DATA BASE]=NOTAS_80[[#This Row],[DATA BASE]]), N(['[D/N']] = "D"),    [LUCRO P/ OP]), 0)</f>
        <v>0</v>
      </c>
      <c r="AK43" s="116">
        <f>IF([U] = "U", SUMPRODUCT(N([DATA BASE]=NOTAS_80[[#This Row],[DATA BASE]]), N(['[D/N']] = "D"),    [IRRF FONTE]), 0)</f>
        <v>0</v>
      </c>
    </row>
    <row r="44" spans="1:37">
      <c r="A44" s="13">
        <v>43</v>
      </c>
      <c r="B44" s="107"/>
      <c r="C44" s="107" t="s">
        <v>168</v>
      </c>
      <c r="D44" s="107" t="s">
        <v>24</v>
      </c>
      <c r="E44" s="108">
        <v>41176</v>
      </c>
      <c r="F44" s="107">
        <v>600</v>
      </c>
      <c r="G44" s="106">
        <v>1.21</v>
      </c>
      <c r="H44" s="105"/>
      <c r="I44" s="127"/>
      <c r="J44" s="107" t="s">
        <v>14</v>
      </c>
      <c r="K44" s="108">
        <f>WORKDAY(NOTAS_80[[#This Row],[DATA]],1,0)</f>
        <v>41177</v>
      </c>
      <c r="L44" s="109">
        <f>EOMONTH(NOTAS_80[[#This Row],[DATA DE LIQUIDAÇÃO]],0)</f>
        <v>41182</v>
      </c>
      <c r="M44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44" s="106">
        <f>[QTDE]*[PREÇO]</f>
        <v>726</v>
      </c>
      <c r="O44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-845</v>
      </c>
      <c r="P44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0.75</v>
      </c>
      <c r="Q44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0.5</v>
      </c>
      <c r="R44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0.63</v>
      </c>
      <c r="S44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13.379999999999999</v>
      </c>
      <c r="T44" s="106">
        <f>TRUNC([CORR BOV] * 20% * IF([PARCIAL] &gt; 0, [QTDE] / [PARCIAL], 1),2)</f>
        <v>2.67</v>
      </c>
      <c r="U44" s="106">
        <f>SUMPRODUCT(N([DATA]=NOTAS_80[[#This Row],[DATA]]),N([ID]&lt;=NOTAS_80[[#This Row],[ID]]), [CORR])</f>
        <v>15.129999999999999</v>
      </c>
      <c r="V44" s="106">
        <f>TRUNC([CORRETAGEM]*SETUP!$F$3,2)</f>
        <v>0.3</v>
      </c>
      <c r="W44" s="106">
        <f>ROUND([CORRETAGEM]*SETUP!$G$3,2)</f>
        <v>0.59</v>
      </c>
      <c r="X44" s="106">
        <f>[VALOR LÍQUIDO DAS OPERAÇÕES]-[TAXA DE LIQUIDAÇÃO]-[EMOLUMENTOS]-[TAXA DE REGISTRO]-[CORRETAGEM]-[ISS]-IF(['[D/N']]="D",    0,    [OUTRAS BOVESPA]) - [AJUSTE]</f>
        <v>-862.31</v>
      </c>
      <c r="Y44" s="106">
        <f>IF(AND(['[D/N']]="D",    [T]="CV",    [LÍQUIDO BASE] &gt; 0),    TRUNC([LÍQUIDO BASE]*0.01, 2),    0)</f>
        <v>0</v>
      </c>
      <c r="Z44" s="23">
        <f>IF([PREÇO] &gt; 0,    [LÍQUIDO BASE]-SUMPRODUCT(N([DATA]=NOTAS_80[[#This Row],[DATA]]),    [IRRF FONTE]),    0)</f>
        <v>-862.31</v>
      </c>
      <c r="AA44" s="110">
        <f>[LÍQUIDO]-SUMPRODUCT(N([DATA]=NOTAS_80[[#This Row],[DATA]]),N([ID]=(NOTAS_80[[#This Row],[ID]]-1)),[LÍQUIDO])</f>
        <v>-729.06</v>
      </c>
      <c r="AB44" s="106">
        <f>IF([T] = "VC", ABS([VALOR OP]) / [QTDE], [VALOR OP]/[QTDE])</f>
        <v>-1.2150999999999998</v>
      </c>
      <c r="AC44" s="106">
        <f>TRUNC(IF(OR([T]="CV",[T]="VV"),     N44*SETUP!$H$3,     0),2)</f>
        <v>0</v>
      </c>
      <c r="AD44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44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1.2150999999999998</v>
      </c>
      <c r="AF44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44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44" s="106">
        <f>IF([LUCRO TMP] &lt;&gt; 0, [LUCRO TMP] - SUMPRODUCT(N([ATIVO]=NOTAS_80[[#This Row],[ATIVO]]),N(['[D/N']]="N"),N([ID]&lt;NOTAS_80[[#This Row],[ID]]),N([PAR]=NOTAS_80[[#This Row],[PAR]]), [LUCRO TMP]), 0)</f>
        <v>0</v>
      </c>
      <c r="AI44" s="106">
        <f>IF([U] = "U", SUMPRODUCT(N([ID]&lt;=NOTAS_80[[#This Row],[ID]]),N([DATA BASE]=NOTAS_80[[#This Row],[DATA BASE]]), N(['[D/N']] = "N"),    [LUCRO P/ OP]), 0)</f>
        <v>0</v>
      </c>
      <c r="AJ44" s="106">
        <f>IF([U] = "U", SUMPRODUCT(N([DATA BASE]=NOTAS_80[[#This Row],[DATA BASE]]), N(['[D/N']] = "D"),    [LUCRO P/ OP]), 0)</f>
        <v>0</v>
      </c>
      <c r="AK44" s="106">
        <f>IF([U] = "U", SUMPRODUCT(N([DATA BASE]=NOTAS_80[[#This Row],[DATA BASE]]), N(['[D/N']] = "D"),    [IRRF FONTE]), 0)</f>
        <v>0</v>
      </c>
    </row>
    <row r="45" spans="1:37">
      <c r="A45" s="114">
        <v>44</v>
      </c>
      <c r="B45" s="114"/>
      <c r="C45" s="107" t="s">
        <v>168</v>
      </c>
      <c r="D45" s="114" t="s">
        <v>25</v>
      </c>
      <c r="E45" s="115">
        <v>41176</v>
      </c>
      <c r="F45" s="114">
        <v>600</v>
      </c>
      <c r="G45" s="116">
        <v>1.1299999999999999</v>
      </c>
      <c r="H45" s="128"/>
      <c r="I45" s="129"/>
      <c r="J45" s="114" t="s">
        <v>14</v>
      </c>
      <c r="K45" s="115">
        <f>WORKDAY(NOTAS_80[[#This Row],[DATA]],1,0)</f>
        <v>41177</v>
      </c>
      <c r="L45" s="117">
        <f>EOMONTH(NOTAS_80[[#This Row],[DATA DE LIQUIDAÇÃO]],0)</f>
        <v>41182</v>
      </c>
      <c r="M45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45" s="116">
        <f>[QTDE]*[PREÇO]</f>
        <v>677.99999999999989</v>
      </c>
      <c r="O45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-167</v>
      </c>
      <c r="P45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0.88</v>
      </c>
      <c r="Q45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0.57999999999999996</v>
      </c>
      <c r="R45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0.73</v>
      </c>
      <c r="S45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12.659999999999998</v>
      </c>
      <c r="T45" s="116">
        <f>TRUNC([CORR BOV] * 20% * IF([PARCIAL] &gt; 0, [QTDE] / [PARCIAL], 1),2)</f>
        <v>2.5299999999999998</v>
      </c>
      <c r="U45" s="116">
        <f>SUMPRODUCT(N([DATA]=NOTAS_80[[#This Row],[DATA]]),N([ID]&lt;=NOTAS_80[[#This Row],[ID]]), [CORR])</f>
        <v>17.66</v>
      </c>
      <c r="V45" s="116">
        <f>TRUNC([CORRETAGEM]*SETUP!$F$3,2)</f>
        <v>0.35</v>
      </c>
      <c r="W45" s="116">
        <f>ROUND([CORRETAGEM]*SETUP!$G$3,2)</f>
        <v>0.69</v>
      </c>
      <c r="X45" s="116">
        <f>[VALOR LÍQUIDO DAS OPERAÇÕES]-[TAXA DE LIQUIDAÇÃO]-[EMOLUMENTOS]-[TAXA DE REGISTRO]-[CORRETAGEM]-[ISS]-IF(['[D/N']]="D",    0,    [OUTRAS BOVESPA]) - [AJUSTE]</f>
        <v>-187.2</v>
      </c>
      <c r="Y45" s="116">
        <f>IF(AND(['[D/N']]="D",    [T]="CV",    [LÍQUIDO BASE] &gt; 0),    TRUNC([LÍQUIDO BASE]*0.01, 2),    0)</f>
        <v>0</v>
      </c>
      <c r="Z45" s="63">
        <f>IF([PREÇO] &gt; 0,    [LÍQUIDO BASE]-SUMPRODUCT(N([DATA]=NOTAS_80[[#This Row],[DATA]]),    [IRRF FONTE]),    0)</f>
        <v>-187.2</v>
      </c>
      <c r="AA45" s="118">
        <f>[LÍQUIDO]-SUMPRODUCT(N([DATA]=NOTAS_80[[#This Row],[DATA]]),N([ID]=(NOTAS_80[[#This Row],[ID]]-1)),[LÍQUIDO])</f>
        <v>675.1099999999999</v>
      </c>
      <c r="AB45" s="116">
        <f>IF([T] = "VC", ABS([VALOR OP]) / [QTDE], [VALOR OP]/[QTDE])</f>
        <v>1.1251833333333332</v>
      </c>
      <c r="AC45" s="116">
        <f>TRUNC(IF(OR([T]="CV",[T]="VV"),     N45*SETUP!$H$3,     0),2)</f>
        <v>0.03</v>
      </c>
      <c r="AD45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45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1.2150999999999998</v>
      </c>
      <c r="AF45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1.1251833333333332</v>
      </c>
      <c r="AG45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-53.949999999999989</v>
      </c>
      <c r="AH45" s="116">
        <f>IF([LUCRO TMP] &lt;&gt; 0, [LUCRO TMP] - SUMPRODUCT(N([ATIVO]=NOTAS_80[[#This Row],[ATIVO]]),N(['[D/N']]="N"),N([ID]&lt;NOTAS_80[[#This Row],[ID]]),N([PAR]=NOTAS_80[[#This Row],[PAR]]), [LUCRO TMP]), 0)</f>
        <v>-53.949999999999989</v>
      </c>
      <c r="AI45" s="116">
        <f>IF([U] = "U", SUMPRODUCT(N([ID]&lt;=NOTAS_80[[#This Row],[ID]]),N([DATA BASE]=NOTAS_80[[#This Row],[DATA BASE]]), N(['[D/N']] = "N"),    [LUCRO P/ OP]), 0)</f>
        <v>0</v>
      </c>
      <c r="AJ45" s="116">
        <f>IF([U] = "U", SUMPRODUCT(N([DATA BASE]=NOTAS_80[[#This Row],[DATA BASE]]), N(['[D/N']] = "D"),    [LUCRO P/ OP]), 0)</f>
        <v>0</v>
      </c>
      <c r="AK45" s="116">
        <f>IF([U] = "U", SUMPRODUCT(N([DATA BASE]=NOTAS_80[[#This Row],[DATA BASE]]), N(['[D/N']] = "D"),    [IRRF FONTE]), 0)</f>
        <v>0</v>
      </c>
    </row>
    <row r="46" spans="1:37">
      <c r="A46" s="13">
        <v>45</v>
      </c>
      <c r="B46" s="107"/>
      <c r="C46" s="107" t="s">
        <v>169</v>
      </c>
      <c r="D46" s="107" t="s">
        <v>24</v>
      </c>
      <c r="E46" s="108">
        <v>41176</v>
      </c>
      <c r="F46" s="107">
        <v>600</v>
      </c>
      <c r="G46" s="106">
        <v>1.33</v>
      </c>
      <c r="H46" s="105"/>
      <c r="I46" s="127"/>
      <c r="J46" s="107" t="s">
        <v>14</v>
      </c>
      <c r="K46" s="108">
        <f>WORKDAY(NOTAS_80[[#This Row],[DATA]],1,0)</f>
        <v>41177</v>
      </c>
      <c r="L46" s="109">
        <f>EOMONTH(NOTAS_80[[#This Row],[DATA DE LIQUIDAÇÃO]],0)</f>
        <v>41182</v>
      </c>
      <c r="M46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46" s="106">
        <f>[QTDE]*[PREÇO]</f>
        <v>798</v>
      </c>
      <c r="O46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-965</v>
      </c>
      <c r="P46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1.02</v>
      </c>
      <c r="Q46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0.68</v>
      </c>
      <c r="R46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0.85</v>
      </c>
      <c r="S46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14.459999999999999</v>
      </c>
      <c r="T46" s="106">
        <f>TRUNC([CORR BOV] * 20% * IF([PARCIAL] &gt; 0, [QTDE] / [PARCIAL], 1),2)</f>
        <v>2.89</v>
      </c>
      <c r="U46" s="106">
        <f>SUMPRODUCT(N([DATA]=NOTAS_80[[#This Row],[DATA]]),N([ID]&lt;=NOTAS_80[[#This Row],[ID]]), [CORR])</f>
        <v>20.55</v>
      </c>
      <c r="V46" s="106">
        <f>TRUNC([CORRETAGEM]*SETUP!$F$3,2)</f>
        <v>0.41</v>
      </c>
      <c r="W46" s="106">
        <f>ROUND([CORRETAGEM]*SETUP!$G$3,2)</f>
        <v>0.8</v>
      </c>
      <c r="X46" s="106">
        <f>[VALOR LÍQUIDO DAS OPERAÇÕES]-[TAXA DE LIQUIDAÇÃO]-[EMOLUMENTOS]-[TAXA DE REGISTRO]-[CORRETAGEM]-[ISS]-IF(['[D/N']]="D",    0,    [OUTRAS BOVESPA]) - [AJUSTE]</f>
        <v>-988.50999999999988</v>
      </c>
      <c r="Y46" s="106">
        <f>IF(AND(['[D/N']]="D",    [T]="CV",    [LÍQUIDO BASE] &gt; 0),    TRUNC([LÍQUIDO BASE]*0.01, 2),    0)</f>
        <v>0</v>
      </c>
      <c r="Z46" s="23">
        <f>IF([PREÇO] &gt; 0,    [LÍQUIDO BASE]-SUMPRODUCT(N([DATA]=NOTAS_80[[#This Row],[DATA]]),    [IRRF FONTE]),    0)</f>
        <v>-988.50999999999988</v>
      </c>
      <c r="AA46" s="110">
        <f>[LÍQUIDO]-SUMPRODUCT(N([DATA]=NOTAS_80[[#This Row],[DATA]]),N([ID]=(NOTAS_80[[#This Row],[ID]]-1)),[LÍQUIDO])</f>
        <v>-801.31</v>
      </c>
      <c r="AB46" s="106">
        <f>IF([T] = "VC", ABS([VALOR OP]) / [QTDE], [VALOR OP]/[QTDE])</f>
        <v>-1.3355166666666667</v>
      </c>
      <c r="AC46" s="106">
        <f>TRUNC(IF(OR([T]="CV",[T]="VV"),     N46*SETUP!$H$3,     0),2)</f>
        <v>0</v>
      </c>
      <c r="AD46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46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1.3355166666666667</v>
      </c>
      <c r="AF46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46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46" s="106">
        <f>IF([LUCRO TMP] &lt;&gt; 0, [LUCRO TMP] - SUMPRODUCT(N([ATIVO]=NOTAS_80[[#This Row],[ATIVO]]),N(['[D/N']]="N"),N([ID]&lt;NOTAS_80[[#This Row],[ID]]),N([PAR]=NOTAS_80[[#This Row],[PAR]]), [LUCRO TMP]), 0)</f>
        <v>0</v>
      </c>
      <c r="AI46" s="106">
        <f>IF([U] = "U", SUMPRODUCT(N([ID]&lt;=NOTAS_80[[#This Row],[ID]]),N([DATA BASE]=NOTAS_80[[#This Row],[DATA BASE]]), N(['[D/N']] = "N"),    [LUCRO P/ OP]), 0)</f>
        <v>0</v>
      </c>
      <c r="AJ46" s="106">
        <f>IF([U] = "U", SUMPRODUCT(N([DATA BASE]=NOTAS_80[[#This Row],[DATA BASE]]), N(['[D/N']] = "D"),    [LUCRO P/ OP]), 0)</f>
        <v>0</v>
      </c>
      <c r="AK46" s="106">
        <f>IF([U] = "U", SUMPRODUCT(N([DATA BASE]=NOTAS_80[[#This Row],[DATA BASE]]), N(['[D/N']] = "D"),    [IRRF FONTE]), 0)</f>
        <v>0</v>
      </c>
    </row>
    <row r="47" spans="1:37">
      <c r="A47" s="114">
        <v>46</v>
      </c>
      <c r="B47" s="114" t="s">
        <v>49</v>
      </c>
      <c r="C47" s="107" t="s">
        <v>169</v>
      </c>
      <c r="D47" s="114" t="s">
        <v>25</v>
      </c>
      <c r="E47" s="115">
        <v>41176</v>
      </c>
      <c r="F47" s="114">
        <v>600</v>
      </c>
      <c r="G47" s="116">
        <v>1.26</v>
      </c>
      <c r="H47" s="128"/>
      <c r="I47" s="129"/>
      <c r="J47" s="114" t="s">
        <v>14</v>
      </c>
      <c r="K47" s="115">
        <f>WORKDAY(NOTAS_80[[#This Row],[DATA]],1,0)</f>
        <v>41177</v>
      </c>
      <c r="L47" s="117">
        <f>EOMONTH(NOTAS_80[[#This Row],[DATA DE LIQUIDAÇÃO]],0)</f>
        <v>41182</v>
      </c>
      <c r="M47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47" s="116">
        <f>[QTDE]*[PREÇO]</f>
        <v>756</v>
      </c>
      <c r="O47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-209</v>
      </c>
      <c r="P47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1.1599999999999999</v>
      </c>
      <c r="Q47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0.77</v>
      </c>
      <c r="R47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0.96</v>
      </c>
      <c r="S47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13.83</v>
      </c>
      <c r="T47" s="116">
        <f>TRUNC([CORR BOV] * 20% * IF([PARCIAL] &gt; 0, [QTDE] / [PARCIAL], 1),2)</f>
        <v>2.76</v>
      </c>
      <c r="U47" s="116">
        <f>SUMPRODUCT(N([DATA]=NOTAS_80[[#This Row],[DATA]]),N([ID]&lt;=NOTAS_80[[#This Row],[ID]]), [CORR])</f>
        <v>23.310000000000002</v>
      </c>
      <c r="V47" s="116">
        <f>TRUNC([CORRETAGEM]*SETUP!$F$3,2)</f>
        <v>0.46</v>
      </c>
      <c r="W47" s="116">
        <f>ROUND([CORRETAGEM]*SETUP!$G$3,2)</f>
        <v>0.91</v>
      </c>
      <c r="X47" s="116">
        <f>[VALOR LÍQUIDO DAS OPERAÇÕES]-[TAXA DE LIQUIDAÇÃO]-[EMOLUMENTOS]-[TAXA DE REGISTRO]-[CORRETAGEM]-[ISS]-IF(['[D/N']]="D",    0,    [OUTRAS BOVESPA]) - [AJUSTE]</f>
        <v>-235.66000000000003</v>
      </c>
      <c r="Y47" s="116">
        <f>IF(AND(['[D/N']]="D",    [T]="CV",    [LÍQUIDO BASE] &gt; 0),    TRUNC([LÍQUIDO BASE]*0.01, 2),    0)</f>
        <v>0</v>
      </c>
      <c r="Z47" s="63">
        <f>IF([PREÇO] &gt; 0,    [LÍQUIDO BASE]-SUMPRODUCT(N([DATA]=NOTAS_80[[#This Row],[DATA]]),    [IRRF FONTE]),    0)</f>
        <v>-235.66000000000003</v>
      </c>
      <c r="AA47" s="118">
        <f>[LÍQUIDO]-SUMPRODUCT(N([DATA]=NOTAS_80[[#This Row],[DATA]]),N([ID]=(NOTAS_80[[#This Row],[ID]]-1)),[LÍQUIDO])</f>
        <v>752.84999999999991</v>
      </c>
      <c r="AB47" s="116">
        <f>IF([T] = "VC", ABS([VALOR OP]) / [QTDE], [VALOR OP]/[QTDE])</f>
        <v>1.2547499999999998</v>
      </c>
      <c r="AC47" s="116">
        <f>TRUNC(IF(OR([T]="CV",[T]="VV"),     N47*SETUP!$H$3,     0),2)</f>
        <v>0.03</v>
      </c>
      <c r="AD47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47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1.3355166666666667</v>
      </c>
      <c r="AF47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1.2547499999999998</v>
      </c>
      <c r="AG47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-48.460000000000122</v>
      </c>
      <c r="AH47" s="116">
        <f>IF([LUCRO TMP] &lt;&gt; 0, [LUCRO TMP] - SUMPRODUCT(N([ATIVO]=NOTAS_80[[#This Row],[ATIVO]]),N(['[D/N']]="N"),N([ID]&lt;NOTAS_80[[#This Row],[ID]]),N([PAR]=NOTAS_80[[#This Row],[PAR]]), [LUCRO TMP]), 0)</f>
        <v>-48.460000000000122</v>
      </c>
      <c r="AI47" s="116">
        <f>IF([U] = "U", SUMPRODUCT(N([ID]&lt;=NOTAS_80[[#This Row],[ID]]),N([DATA BASE]=NOTAS_80[[#This Row],[DATA BASE]]), N(['[D/N']] = "N"),    [LUCRO P/ OP]), 0)</f>
        <v>656.4100000000002</v>
      </c>
      <c r="AJ47" s="116">
        <f>IF([U] = "U", SUMPRODUCT(N([DATA BASE]=NOTAS_80[[#This Row],[DATA BASE]]), N(['[D/N']] = "D"),    [LUCRO P/ OP]), 0)</f>
        <v>536.39000000000021</v>
      </c>
      <c r="AK47" s="116">
        <f>IF([U] = "U", SUMPRODUCT(N([DATA BASE]=NOTAS_80[[#This Row],[DATA BASE]]), N(['[D/N']] = "D"),    [IRRF FONTE]), 0)</f>
        <v>16.559999999999999</v>
      </c>
    </row>
    <row r="48" spans="1:37">
      <c r="A48" s="13">
        <v>47</v>
      </c>
      <c r="B48" s="107"/>
      <c r="C48" s="107" t="s">
        <v>170</v>
      </c>
      <c r="D48" s="107" t="s">
        <v>24</v>
      </c>
      <c r="E48" s="108">
        <v>41176</v>
      </c>
      <c r="F48" s="107">
        <v>600</v>
      </c>
      <c r="G48" s="106">
        <v>1.35</v>
      </c>
      <c r="H48" s="105"/>
      <c r="I48" s="127"/>
      <c r="J48" s="107" t="s">
        <v>6</v>
      </c>
      <c r="K48" s="108">
        <f>WORKDAY(NOTAS_80[[#This Row],[DATA]],1,0)</f>
        <v>41177</v>
      </c>
      <c r="L48" s="109">
        <f>EOMONTH(NOTAS_80[[#This Row],[DATA DE LIQUIDAÇÃO]],0)</f>
        <v>41182</v>
      </c>
      <c r="M48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48" s="106">
        <f>[QTDE]*[PREÇO]</f>
        <v>810</v>
      </c>
      <c r="O48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-1019</v>
      </c>
      <c r="P48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1.38</v>
      </c>
      <c r="Q48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1.07</v>
      </c>
      <c r="R48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1.53</v>
      </c>
      <c r="S48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14.64</v>
      </c>
      <c r="T48" s="106">
        <f>TRUNC([CORR BOV] * 20% * IF([PARCIAL] &gt; 0, [QTDE] / [PARCIAL], 1),2)</f>
        <v>2.92</v>
      </c>
      <c r="U48" s="106">
        <f>SUMPRODUCT(N([DATA]=NOTAS_80[[#This Row],[DATA]]),N([ID]&lt;=NOTAS_80[[#This Row],[ID]]), [CORR])</f>
        <v>26.230000000000004</v>
      </c>
      <c r="V48" s="106">
        <f>TRUNC([CORRETAGEM]*SETUP!$F$3,2)</f>
        <v>0.52</v>
      </c>
      <c r="W48" s="106">
        <f>ROUND([CORRETAGEM]*SETUP!$G$3,2)</f>
        <v>1.02</v>
      </c>
      <c r="X48" s="106">
        <f>[VALOR LÍQUIDO DAS OPERAÇÕES]-[TAXA DE LIQUIDAÇÃO]-[EMOLUMENTOS]-[TAXA DE REGISTRO]-[CORRETAGEM]-[ISS]-IF(['[D/N']]="D",    0,    [OUTRAS BOVESPA]) - [AJUSTE]</f>
        <v>-1050.75</v>
      </c>
      <c r="Y48" s="106">
        <f>IF(AND(['[D/N']]="D",    [T]="CV",    [LÍQUIDO BASE] &gt; 0),    TRUNC([LÍQUIDO BASE]*0.01, 2),    0)</f>
        <v>0</v>
      </c>
      <c r="Z48" s="23">
        <f>IF([PREÇO] &gt; 0,    [LÍQUIDO BASE]-SUMPRODUCT(N([DATA]=NOTAS_80[[#This Row],[DATA]]),    [IRRF FONTE]),    0)</f>
        <v>-1050.75</v>
      </c>
      <c r="AA48" s="110">
        <f>[LÍQUIDO]-SUMPRODUCT(N([DATA]=NOTAS_80[[#This Row],[DATA]]),N([ID]=(NOTAS_80[[#This Row],[ID]]-1)),[LÍQUIDO])</f>
        <v>-815.08999999999992</v>
      </c>
      <c r="AB48" s="106">
        <f>IF([T] = "VC", ABS([VALOR OP]) / [QTDE], [VALOR OP]/[QTDE])</f>
        <v>-1.3584833333333333</v>
      </c>
      <c r="AC48" s="106">
        <f>TRUNC(IF(OR([T]="CV",[T]="VV"),     N48*SETUP!$H$3,     0),2)</f>
        <v>0</v>
      </c>
      <c r="AD48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600</v>
      </c>
      <c r="AE48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1.3584833333333333</v>
      </c>
      <c r="AF48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48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48" s="106">
        <f>IF([LUCRO TMP] &lt;&gt; 0, [LUCRO TMP] - SUMPRODUCT(N([ATIVO]=NOTAS_80[[#This Row],[ATIVO]]),N(['[D/N']]="N"),N([ID]&lt;NOTAS_80[[#This Row],[ID]]),N([PAR]=NOTAS_80[[#This Row],[PAR]]), [LUCRO TMP]), 0)</f>
        <v>0</v>
      </c>
      <c r="AI48" s="106">
        <f>IF([U] = "U", SUMPRODUCT(N([ID]&lt;=NOTAS_80[[#This Row],[ID]]),N([DATA BASE]=NOTAS_80[[#This Row],[DATA BASE]]), N(['[D/N']] = "N"),    [LUCRO P/ OP]), 0)</f>
        <v>0</v>
      </c>
      <c r="AJ48" s="106">
        <f>IF([U] = "U", SUMPRODUCT(N([DATA BASE]=NOTAS_80[[#This Row],[DATA BASE]]), N(['[D/N']] = "D"),    [LUCRO P/ OP]), 0)</f>
        <v>0</v>
      </c>
      <c r="AK48" s="106">
        <f>IF([U] = "U", SUMPRODUCT(N([DATA BASE]=NOTAS_80[[#This Row],[DATA BASE]]), N(['[D/N']] = "D"),    [IRRF FONTE]), 0)</f>
        <v>0</v>
      </c>
    </row>
    <row r="49" spans="1:37">
      <c r="A49" s="114">
        <v>48</v>
      </c>
      <c r="B49" s="114" t="s">
        <v>49</v>
      </c>
      <c r="C49" s="107" t="s">
        <v>170</v>
      </c>
      <c r="D49" s="114" t="s">
        <v>25</v>
      </c>
      <c r="E49" s="115">
        <v>41177</v>
      </c>
      <c r="F49" s="114">
        <v>600</v>
      </c>
      <c r="G49" s="116">
        <v>1.2</v>
      </c>
      <c r="H49" s="128"/>
      <c r="I49" s="129"/>
      <c r="J49" s="114" t="s">
        <v>6</v>
      </c>
      <c r="K49" s="115">
        <f>WORKDAY(NOTAS_80[[#This Row],[DATA]],1,0)</f>
        <v>41178</v>
      </c>
      <c r="L49" s="117">
        <f>EOMONTH(NOTAS_80[[#This Row],[DATA DE LIQUIDAÇÃO]],0)</f>
        <v>41182</v>
      </c>
      <c r="M49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49" s="116">
        <f>[QTDE]*[PREÇO]</f>
        <v>720</v>
      </c>
      <c r="O49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720</v>
      </c>
      <c r="P49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0.19</v>
      </c>
      <c r="Q49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0.26</v>
      </c>
      <c r="R49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0.5</v>
      </c>
      <c r="S49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13.29</v>
      </c>
      <c r="T49" s="116">
        <f>TRUNC([CORR BOV] * 20% * IF([PARCIAL] &gt; 0, [QTDE] / [PARCIAL], 1),2)</f>
        <v>2.65</v>
      </c>
      <c r="U49" s="116">
        <f>SUMPRODUCT(N([DATA]=NOTAS_80[[#This Row],[DATA]]),N([ID]&lt;=NOTAS_80[[#This Row],[ID]]), [CORR])</f>
        <v>2.65</v>
      </c>
      <c r="V49" s="116">
        <f>TRUNC([CORRETAGEM]*SETUP!$F$3,2)</f>
        <v>0.05</v>
      </c>
      <c r="W49" s="116">
        <f>ROUND([CORRETAGEM]*SETUP!$G$3,2)</f>
        <v>0.1</v>
      </c>
      <c r="X49" s="116">
        <f>[VALOR LÍQUIDO DAS OPERAÇÕES]-[TAXA DE LIQUIDAÇÃO]-[EMOLUMENTOS]-[TAXA DE REGISTRO]-[CORRETAGEM]-[ISS]-IF(['[D/N']]="D",    0,    [OUTRAS BOVESPA]) - [AJUSTE]</f>
        <v>716.25</v>
      </c>
      <c r="Y49" s="116">
        <f>IF(AND(['[D/N']]="D",    [T]="CV",    [LÍQUIDO BASE] &gt; 0),    TRUNC([LÍQUIDO BASE]*0.01, 2),    0)</f>
        <v>0</v>
      </c>
      <c r="Z49" s="63">
        <f>IF([PREÇO] &gt; 0,    [LÍQUIDO BASE]-SUMPRODUCT(N([DATA]=NOTAS_80[[#This Row],[DATA]]),    [IRRF FONTE]),    0)</f>
        <v>716.25</v>
      </c>
      <c r="AA49" s="118">
        <f>[LÍQUIDO]-SUMPRODUCT(N([DATA]=NOTAS_80[[#This Row],[DATA]]),N([ID]=(NOTAS_80[[#This Row],[ID]]-1)),[LÍQUIDO])</f>
        <v>716.25</v>
      </c>
      <c r="AB49" s="116">
        <f>IF([T] = "VC", ABS([VALOR OP]) / [QTDE], [VALOR OP]/[QTDE])</f>
        <v>1.1937500000000001</v>
      </c>
      <c r="AC49" s="116">
        <f>TRUNC(IF(OR([T]="CV",[T]="VV"),     N49*SETUP!$H$3,     0),2)</f>
        <v>0.03</v>
      </c>
      <c r="AD49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49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1.3584833333333333</v>
      </c>
      <c r="AF49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1.1937500000000001</v>
      </c>
      <c r="AG49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-98.839999999999904</v>
      </c>
      <c r="AH49" s="116">
        <f>IF([LUCRO TMP] &lt;&gt; 0, [LUCRO TMP] - SUMPRODUCT(N([ATIVO]=NOTAS_80[[#This Row],[ATIVO]]),N(['[D/N']]="N"),N([ID]&lt;NOTAS_80[[#This Row],[ID]]),N([PAR]=NOTAS_80[[#This Row],[PAR]]), [LUCRO TMP]), 0)</f>
        <v>-98.839999999999904</v>
      </c>
      <c r="AI49" s="116">
        <f>IF([U] = "U", SUMPRODUCT(N([ID]&lt;=NOTAS_80[[#This Row],[ID]]),N([DATA BASE]=NOTAS_80[[#This Row],[DATA BASE]]), N(['[D/N']] = "N"),    [LUCRO P/ OP]), 0)</f>
        <v>557.57000000000028</v>
      </c>
      <c r="AJ49" s="116">
        <f>IF([U] = "U", SUMPRODUCT(N([DATA BASE]=NOTAS_80[[#This Row],[DATA BASE]]), N(['[D/N']] = "D"),    [LUCRO P/ OP]), 0)</f>
        <v>536.39000000000021</v>
      </c>
      <c r="AK49" s="116">
        <f>IF([U] = "U", SUMPRODUCT(N([DATA BASE]=NOTAS_80[[#This Row],[DATA BASE]]), N(['[D/N']] = "D"),    [IRRF FONTE]), 0)</f>
        <v>16.559999999999999</v>
      </c>
    </row>
    <row r="50" spans="1:37">
      <c r="A50" s="114">
        <v>49</v>
      </c>
      <c r="B50" s="107"/>
      <c r="C50" s="107" t="s">
        <v>171</v>
      </c>
      <c r="D50" s="107" t="s">
        <v>24</v>
      </c>
      <c r="E50" s="108">
        <v>41183</v>
      </c>
      <c r="F50" s="107">
        <v>200</v>
      </c>
      <c r="G50" s="106">
        <v>0.77</v>
      </c>
      <c r="H50" s="105"/>
      <c r="I50" s="127"/>
      <c r="J50" s="107" t="s">
        <v>6</v>
      </c>
      <c r="K50" s="108">
        <f>WORKDAY(NOTAS_80[[#This Row],[DATA]],1,0)</f>
        <v>41184</v>
      </c>
      <c r="L50" s="109">
        <f>EOMONTH(NOTAS_80[[#This Row],[DATA DE LIQUIDAÇÃO]],0)</f>
        <v>41213</v>
      </c>
      <c r="M50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50" s="106">
        <f>[QTDE]*[PREÇO]</f>
        <v>154</v>
      </c>
      <c r="O50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-154</v>
      </c>
      <c r="P50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0.04</v>
      </c>
      <c r="Q50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0.05</v>
      </c>
      <c r="R50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0.1</v>
      </c>
      <c r="S50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3.08</v>
      </c>
      <c r="T50" s="106">
        <f>TRUNC([CORR BOV] * 20% * IF([PARCIAL] &gt; 0, [QTDE] / [PARCIAL], 1),2)</f>
        <v>0.61</v>
      </c>
      <c r="U50" s="106">
        <f>SUMPRODUCT(N([DATA]=NOTAS_80[[#This Row],[DATA]]),N([ID]&lt;=NOTAS_80[[#This Row],[ID]]), [CORR])</f>
        <v>0.61</v>
      </c>
      <c r="V50" s="106">
        <f>TRUNC([CORRETAGEM]*SETUP!$F$3,2)</f>
        <v>0.01</v>
      </c>
      <c r="W50" s="106">
        <f>ROUND([CORRETAGEM]*SETUP!$G$3,2)</f>
        <v>0.02</v>
      </c>
      <c r="X50" s="106">
        <f>[VALOR LÍQUIDO DAS OPERAÇÕES]-[TAXA DE LIQUIDAÇÃO]-[EMOLUMENTOS]-[TAXA DE REGISTRO]-[CORRETAGEM]-[ISS]-IF(['[D/N']]="D",    0,    [OUTRAS BOVESPA]) - [AJUSTE]</f>
        <v>-154.83000000000001</v>
      </c>
      <c r="Y50" s="106">
        <f>IF(AND(['[D/N']]="D",    [T]="CV",    [LÍQUIDO BASE] &gt; 0),    TRUNC([LÍQUIDO BASE]*0.01, 2),    0)</f>
        <v>0</v>
      </c>
      <c r="Z50" s="23">
        <f>IF([PREÇO] &gt; 0,    [LÍQUIDO BASE]-SUMPRODUCT(N([DATA]=NOTAS_80[[#This Row],[DATA]]),    [IRRF FONTE]),    0)</f>
        <v>-154.83000000000001</v>
      </c>
      <c r="AA50" s="106">
        <f>[LÍQUIDO]-SUMPRODUCT(N([DATA]=NOTAS_80[[#This Row],[DATA]]),N([ID]=(NOTAS_80[[#This Row],[ID]]-1)),[LÍQUIDO])</f>
        <v>-154.83000000000001</v>
      </c>
      <c r="AB50" s="106">
        <f>IF([T] = "VC", ABS([VALOR OP]) / [QTDE], [VALOR OP]/[QTDE])</f>
        <v>-0.77415000000000012</v>
      </c>
      <c r="AC50" s="106">
        <f>TRUNC(IF(OR([T]="CV",[T]="VV"),     N50*SETUP!$H$3,     0),2)</f>
        <v>0</v>
      </c>
      <c r="AD50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200</v>
      </c>
      <c r="AE50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0.77415000000000012</v>
      </c>
      <c r="AF50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50" s="112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50" s="106">
        <f>IF([LUCRO TMP] &lt;&gt; 0, [LUCRO TMP] - SUMPRODUCT(N([ATIVO]=NOTAS_80[[#This Row],[ATIVO]]),N(['[D/N']]="N"),N([ID]&lt;NOTAS_80[[#This Row],[ID]]),N([PAR]=NOTAS_80[[#This Row],[PAR]]), [LUCRO TMP]), 0)</f>
        <v>0</v>
      </c>
      <c r="AI50" s="106">
        <f>IF([U] = "U", SUMPRODUCT(N([ID]&lt;=NOTAS_80[[#This Row],[ID]]),N([DATA BASE]=NOTAS_80[[#This Row],[DATA BASE]]), N(['[D/N']] = "N"),    [LUCRO P/ OP]), 0)</f>
        <v>0</v>
      </c>
      <c r="AJ50" s="106">
        <f>IF([U] = "U", SUMPRODUCT(N([DATA BASE]=NOTAS_80[[#This Row],[DATA BASE]]), N(['[D/N']] = "D"),    [LUCRO P/ OP]), 0)</f>
        <v>0</v>
      </c>
      <c r="AK50" s="106">
        <f>IF([U] = "U", SUMPRODUCT(N([DATA BASE]=NOTAS_80[[#This Row],[DATA BASE]]), N(['[D/N']] = "D"),    [IRRF FONTE]), 0)</f>
        <v>0</v>
      </c>
    </row>
    <row r="51" spans="1:37">
      <c r="A51" s="13">
        <v>50</v>
      </c>
      <c r="B51" s="107"/>
      <c r="C51" s="107" t="s">
        <v>172</v>
      </c>
      <c r="D51" s="114" t="s">
        <v>66</v>
      </c>
      <c r="E51" s="115">
        <v>41183</v>
      </c>
      <c r="F51" s="114">
        <v>200</v>
      </c>
      <c r="G51" s="116">
        <v>1.41</v>
      </c>
      <c r="H51" s="128"/>
      <c r="I51" s="129"/>
      <c r="J51" s="114" t="s">
        <v>6</v>
      </c>
      <c r="K51" s="108">
        <f>WORKDAY(NOTAS_80[[#This Row],[DATA]],1,0)</f>
        <v>41184</v>
      </c>
      <c r="L51" s="109">
        <f>EOMONTH(NOTAS_80[[#This Row],[DATA DE LIQUIDAÇÃO]],0)</f>
        <v>41213</v>
      </c>
      <c r="M51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51" s="106">
        <f>[QTDE]*[PREÇO]</f>
        <v>282</v>
      </c>
      <c r="O51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128</v>
      </c>
      <c r="P51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0.11</v>
      </c>
      <c r="Q51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0.16</v>
      </c>
      <c r="R51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0.3</v>
      </c>
      <c r="S51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5.64</v>
      </c>
      <c r="T51" s="106">
        <f>TRUNC([CORR BOV] * 20% * IF([PARCIAL] &gt; 0, [QTDE] / [PARCIAL], 1),2)</f>
        <v>1.1200000000000001</v>
      </c>
      <c r="U51" s="106">
        <f>SUMPRODUCT(N([DATA]=NOTAS_80[[#This Row],[DATA]]),N([ID]&lt;=NOTAS_80[[#This Row],[ID]]), [CORR])</f>
        <v>1.73</v>
      </c>
      <c r="V51" s="106">
        <f>TRUNC([CORRETAGEM]*SETUP!$F$3,2)</f>
        <v>0.03</v>
      </c>
      <c r="W51" s="106">
        <f>ROUND([CORRETAGEM]*SETUP!$G$3,2)</f>
        <v>7.0000000000000007E-2</v>
      </c>
      <c r="X51" s="106">
        <f>[VALOR LÍQUIDO DAS OPERAÇÕES]-[TAXA DE LIQUIDAÇÃO]-[EMOLUMENTOS]-[TAXA DE REGISTRO]-[CORRETAGEM]-[ISS]-IF(['[D/N']]="D",    0,    [OUTRAS BOVESPA]) - [AJUSTE]</f>
        <v>125.60000000000001</v>
      </c>
      <c r="Y51" s="106">
        <f>IF(AND(['[D/N']]="D",    [T]="CV",    [LÍQUIDO BASE] &gt; 0),    TRUNC([LÍQUIDO BASE]*0.01, 2),    0)</f>
        <v>0</v>
      </c>
      <c r="Z51" s="23">
        <f>IF([PREÇO] &gt; 0,    [LÍQUIDO BASE]-SUMPRODUCT(N([DATA]=NOTAS_80[[#This Row],[DATA]]),    [IRRF FONTE]),    0)</f>
        <v>125.60000000000001</v>
      </c>
      <c r="AA51" s="106">
        <f>[LÍQUIDO]-SUMPRODUCT(N([DATA]=NOTAS_80[[#This Row],[DATA]]),N([ID]=(NOTAS_80[[#This Row],[ID]]-1)),[LÍQUIDO])</f>
        <v>280.43</v>
      </c>
      <c r="AB51" s="106">
        <f>IF([T] = "VC", ABS([VALOR OP]) / [QTDE], [VALOR OP]/[QTDE])</f>
        <v>1.40215</v>
      </c>
      <c r="AC51" s="106">
        <f>TRUNC(IF(OR([T]="CV",[T]="VV"),     N51*SETUP!$H$3,     0),2)</f>
        <v>0.01</v>
      </c>
      <c r="AD51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-200</v>
      </c>
      <c r="AE51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</v>
      </c>
      <c r="AF51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1.40215</v>
      </c>
      <c r="AG51" s="112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51" s="106">
        <f>IF([LUCRO TMP] &lt;&gt; 0, [LUCRO TMP] - SUMPRODUCT(N([ATIVO]=NOTAS_80[[#This Row],[ATIVO]]),N(['[D/N']]="N"),N([ID]&lt;NOTAS_80[[#This Row],[ID]]),N([PAR]=NOTAS_80[[#This Row],[PAR]]), [LUCRO TMP]), 0)</f>
        <v>0</v>
      </c>
      <c r="AI51" s="106">
        <f>IF([U] = "U", SUMPRODUCT(N([ID]&lt;=NOTAS_80[[#This Row],[ID]]),N([DATA BASE]=NOTAS_80[[#This Row],[DATA BASE]]), N(['[D/N']] = "N"),    [LUCRO P/ OP]), 0)</f>
        <v>0</v>
      </c>
      <c r="AJ51" s="106">
        <f>IF([U] = "U", SUMPRODUCT(N([DATA BASE]=NOTAS_80[[#This Row],[DATA BASE]]), N(['[D/N']] = "D"),    [LUCRO P/ OP]), 0)</f>
        <v>0</v>
      </c>
      <c r="AK51" s="106">
        <f>IF([U] = "U", SUMPRODUCT(N([DATA BASE]=NOTAS_80[[#This Row],[DATA BASE]]), N(['[D/N']] = "D"),    [IRRF FONTE]), 0)</f>
        <v>0</v>
      </c>
    </row>
    <row r="52" spans="1:37">
      <c r="A52" s="114">
        <v>51</v>
      </c>
      <c r="B52" s="107"/>
      <c r="C52" s="107" t="s">
        <v>172</v>
      </c>
      <c r="D52" s="114" t="s">
        <v>67</v>
      </c>
      <c r="E52" s="115">
        <v>41187</v>
      </c>
      <c r="F52" s="114">
        <v>200</v>
      </c>
      <c r="G52" s="116">
        <v>1.4</v>
      </c>
      <c r="H52" s="128"/>
      <c r="I52" s="129"/>
      <c r="J52" s="114" t="s">
        <v>6</v>
      </c>
      <c r="K52" s="108">
        <f>WORKDAY(NOTAS_80[[#This Row],[DATA]],1,0)</f>
        <v>41190</v>
      </c>
      <c r="L52" s="109">
        <f>EOMONTH(NOTAS_80[[#This Row],[DATA DE LIQUIDAÇÃO]],0)</f>
        <v>41213</v>
      </c>
      <c r="M52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52" s="106">
        <f>[QTDE]*[PREÇO]</f>
        <v>280</v>
      </c>
      <c r="O52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-280</v>
      </c>
      <c r="P52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7.0000000000000007E-2</v>
      </c>
      <c r="Q52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0.1</v>
      </c>
      <c r="R52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0.19</v>
      </c>
      <c r="S52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5.6000000000000005</v>
      </c>
      <c r="T52" s="106">
        <f>TRUNC([CORR BOV] * 20% * IF([PARCIAL] &gt; 0, [QTDE] / [PARCIAL], 1),2)</f>
        <v>1.1200000000000001</v>
      </c>
      <c r="U52" s="106">
        <f>SUMPRODUCT(N([DATA]=NOTAS_80[[#This Row],[DATA]]),N([ID]&lt;=NOTAS_80[[#This Row],[ID]]), [CORR])</f>
        <v>1.1200000000000001</v>
      </c>
      <c r="V52" s="106">
        <f>TRUNC([CORRETAGEM]*SETUP!$F$3,2)</f>
        <v>0.02</v>
      </c>
      <c r="W52" s="106">
        <f>ROUND([CORRETAGEM]*SETUP!$G$3,2)</f>
        <v>0.04</v>
      </c>
      <c r="X52" s="106">
        <f>[VALOR LÍQUIDO DAS OPERAÇÕES]-[TAXA DE LIQUIDAÇÃO]-[EMOLUMENTOS]-[TAXA DE REGISTRO]-[CORRETAGEM]-[ISS]-IF(['[D/N']]="D",    0,    [OUTRAS BOVESPA]) - [AJUSTE]</f>
        <v>-281.54000000000002</v>
      </c>
      <c r="Y52" s="106">
        <f>IF(AND(['[D/N']]="D",    [T]="CV",    [LÍQUIDO BASE] &gt; 0),    TRUNC([LÍQUIDO BASE]*0.01, 2),    0)</f>
        <v>0</v>
      </c>
      <c r="Z52" s="23">
        <f>IF([PREÇO] &gt; 0,    [LÍQUIDO BASE]-SUMPRODUCT(N([DATA]=NOTAS_80[[#This Row],[DATA]]),    [IRRF FONTE]),    0)</f>
        <v>-281.54000000000002</v>
      </c>
      <c r="AA52" s="106">
        <f>[LÍQUIDO]-SUMPRODUCT(N([DATA]=NOTAS_80[[#This Row],[DATA]]),N([ID]=(NOTAS_80[[#This Row],[ID]]-1)),[LÍQUIDO])</f>
        <v>-281.54000000000002</v>
      </c>
      <c r="AB52" s="106">
        <f>IF([T] = "VC", ABS([VALOR OP]) / [QTDE], [VALOR OP]/[QTDE])</f>
        <v>1.4077000000000002</v>
      </c>
      <c r="AC52" s="106">
        <f>TRUNC(IF(OR([T]="CV",[T]="VV"),     N52*SETUP!$H$3,     0),2)</f>
        <v>0</v>
      </c>
      <c r="AD52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52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1.4077000000000002</v>
      </c>
      <c r="AF52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1.40215</v>
      </c>
      <c r="AG52" s="112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-1.1100000000000332</v>
      </c>
      <c r="AH52" s="106">
        <f>IF([LUCRO TMP] &lt;&gt; 0, [LUCRO TMP] - SUMPRODUCT(N([ATIVO]=NOTAS_80[[#This Row],[ATIVO]]),N(['[D/N']]="N"),N([ID]&lt;NOTAS_80[[#This Row],[ID]]),N([PAR]=NOTAS_80[[#This Row],[PAR]]), [LUCRO TMP]), 0)</f>
        <v>-1.1100000000000332</v>
      </c>
      <c r="AI52" s="106">
        <f>IF([U] = "U", SUMPRODUCT(N([ID]&lt;=NOTAS_80[[#This Row],[ID]]),N([DATA BASE]=NOTAS_80[[#This Row],[DATA BASE]]), N(['[D/N']] = "N"),    [LUCRO P/ OP]), 0)</f>
        <v>0</v>
      </c>
      <c r="AJ52" s="106">
        <f>IF([U] = "U", SUMPRODUCT(N([DATA BASE]=NOTAS_80[[#This Row],[DATA BASE]]), N(['[D/N']] = "D"),    [LUCRO P/ OP]), 0)</f>
        <v>0</v>
      </c>
      <c r="AK52" s="106">
        <f>IF([U] = "U", SUMPRODUCT(N([DATA BASE]=NOTAS_80[[#This Row],[DATA BASE]]), N(['[D/N']] = "D"),    [IRRF FONTE]), 0)</f>
        <v>0</v>
      </c>
    </row>
    <row r="53" spans="1:37">
      <c r="A53" s="114">
        <v>52</v>
      </c>
      <c r="B53" s="107"/>
      <c r="C53" s="107" t="s">
        <v>174</v>
      </c>
      <c r="D53" s="107" t="s">
        <v>24</v>
      </c>
      <c r="E53" s="108">
        <v>41206</v>
      </c>
      <c r="F53" s="107">
        <v>100</v>
      </c>
      <c r="G53" s="15">
        <v>1.5</v>
      </c>
      <c r="H53" s="105"/>
      <c r="I53" s="127"/>
      <c r="J53" s="107" t="s">
        <v>6</v>
      </c>
      <c r="K53" s="108">
        <f>WORKDAY(NOTAS_80[[#This Row],[DATA]],1,0)</f>
        <v>41207</v>
      </c>
      <c r="L53" s="109">
        <f>EOMONTH(NOTAS_80[[#This Row],[DATA DE LIQUIDAÇÃO]],0)</f>
        <v>41213</v>
      </c>
      <c r="M53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53" s="106">
        <f>[QTDE]*[PREÇO]</f>
        <v>150</v>
      </c>
      <c r="O53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-150</v>
      </c>
      <c r="P53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0.04</v>
      </c>
      <c r="Q53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0.05</v>
      </c>
      <c r="R53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0.1</v>
      </c>
      <c r="S53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3</v>
      </c>
      <c r="T53" s="106">
        <f>TRUNC([CORR BOV] * 20% * IF([PARCIAL] &gt; 0, [QTDE] / [PARCIAL], 1),2)</f>
        <v>0.6</v>
      </c>
      <c r="U53" s="106">
        <f>SUMPRODUCT(N([DATA]=NOTAS_80[[#This Row],[DATA]]),N([ID]&lt;=NOTAS_80[[#This Row],[ID]]), [CORR])</f>
        <v>0.6</v>
      </c>
      <c r="V53" s="106">
        <f>TRUNC([CORRETAGEM]*SETUP!$F$3,2)</f>
        <v>0.01</v>
      </c>
      <c r="W53" s="106">
        <f>ROUND([CORRETAGEM]*SETUP!$G$3,2)</f>
        <v>0.02</v>
      </c>
      <c r="X53" s="106">
        <f>[VALOR LÍQUIDO DAS OPERAÇÕES]-[TAXA DE LIQUIDAÇÃO]-[EMOLUMENTOS]-[TAXA DE REGISTRO]-[CORRETAGEM]-[ISS]-IF(['[D/N']]="D",    0,    [OUTRAS BOVESPA]) - [AJUSTE]</f>
        <v>-150.82</v>
      </c>
      <c r="Y53" s="106">
        <f>IF(AND(['[D/N']]="D",    [T]="CV",    [LÍQUIDO BASE] &gt; 0),    TRUNC([LÍQUIDO BASE]*0.01, 2),    0)</f>
        <v>0</v>
      </c>
      <c r="Z53" s="23">
        <f>IF([PREÇO] &gt; 0,    [LÍQUIDO BASE]-SUMPRODUCT(N([DATA]=NOTAS_80[[#This Row],[DATA]]),    [IRRF FONTE]),    0)</f>
        <v>-150.82</v>
      </c>
      <c r="AA53" s="106">
        <f>[LÍQUIDO]-SUMPRODUCT(N([DATA]=NOTAS_80[[#This Row],[DATA]]),N([ID]=(NOTAS_80[[#This Row],[ID]]-1)),[LÍQUIDO])</f>
        <v>-150.82</v>
      </c>
      <c r="AB53" s="106">
        <f>IF([T] = "VC", ABS([VALOR OP]) / [QTDE], [VALOR OP]/[QTDE])</f>
        <v>-1.5082</v>
      </c>
      <c r="AC53" s="106">
        <f>TRUNC(IF(OR([T]="CV",[T]="VV"),     N53*SETUP!$H$3,     0),2)</f>
        <v>0</v>
      </c>
      <c r="AD53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100</v>
      </c>
      <c r="AE53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1.5082</v>
      </c>
      <c r="AF53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53" s="112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53" s="106">
        <f>IF([LUCRO TMP] &lt;&gt; 0, [LUCRO TMP] - SUMPRODUCT(N([ATIVO]=NOTAS_80[[#This Row],[ATIVO]]),N(['[D/N']]="N"),N([ID]&lt;NOTAS_80[[#This Row],[ID]]),N([PAR]=NOTAS_80[[#This Row],[PAR]]), [LUCRO TMP]), 0)</f>
        <v>0</v>
      </c>
      <c r="AI53" s="106">
        <f>IF([U] = "U", SUMPRODUCT(N([ID]&lt;=NOTAS_80[[#This Row],[ID]]),N([DATA BASE]=NOTAS_80[[#This Row],[DATA BASE]]), N(['[D/N']] = "N"),    [LUCRO P/ OP]), 0)</f>
        <v>0</v>
      </c>
      <c r="AJ53" s="106">
        <f>IF([U] = "U", SUMPRODUCT(N([DATA BASE]=NOTAS_80[[#This Row],[DATA BASE]]), N(['[D/N']] = "D"),    [LUCRO P/ OP]), 0)</f>
        <v>0</v>
      </c>
      <c r="AK53" s="106">
        <f>IF([U] = "U", SUMPRODUCT(N([DATA BASE]=NOTAS_80[[#This Row],[DATA BASE]]), N(['[D/N']] = "D"),    [IRRF FONTE]), 0)</f>
        <v>0</v>
      </c>
    </row>
    <row r="54" spans="1:37">
      <c r="A54" s="13">
        <v>53</v>
      </c>
      <c r="B54" s="107"/>
      <c r="C54" s="107" t="s">
        <v>173</v>
      </c>
      <c r="D54" s="114" t="s">
        <v>66</v>
      </c>
      <c r="E54" s="115">
        <v>41206</v>
      </c>
      <c r="F54" s="114">
        <v>100</v>
      </c>
      <c r="G54" s="116">
        <v>2.14</v>
      </c>
      <c r="H54" s="128"/>
      <c r="I54" s="129"/>
      <c r="J54" s="114" t="s">
        <v>6</v>
      </c>
      <c r="K54" s="108">
        <f>WORKDAY(NOTAS_80[[#This Row],[DATA]],1,0)</f>
        <v>41207</v>
      </c>
      <c r="L54" s="109">
        <f>EOMONTH(NOTAS_80[[#This Row],[DATA DE LIQUIDAÇÃO]],0)</f>
        <v>41213</v>
      </c>
      <c r="M54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54" s="106">
        <f>[QTDE]*[PREÇO]</f>
        <v>214</v>
      </c>
      <c r="O54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64</v>
      </c>
      <c r="P54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0.1</v>
      </c>
      <c r="Q54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0.13</v>
      </c>
      <c r="R54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0.25</v>
      </c>
      <c r="S54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4.28</v>
      </c>
      <c r="T54" s="106">
        <f>TRUNC([CORR BOV] * 20% * IF([PARCIAL] &gt; 0, [QTDE] / [PARCIAL], 1),2)</f>
        <v>0.85</v>
      </c>
      <c r="U54" s="106">
        <f>SUMPRODUCT(N([DATA]=NOTAS_80[[#This Row],[DATA]]),N([ID]&lt;=NOTAS_80[[#This Row],[ID]]), [CORR])</f>
        <v>1.45</v>
      </c>
      <c r="V54" s="106">
        <f>TRUNC([CORRETAGEM]*SETUP!$F$3,2)</f>
        <v>0.02</v>
      </c>
      <c r="W54" s="106">
        <f>ROUND([CORRETAGEM]*SETUP!$G$3,2)</f>
        <v>0.06</v>
      </c>
      <c r="X54" s="106">
        <f>[VALOR LÍQUIDO DAS OPERAÇÕES]-[TAXA DE LIQUIDAÇÃO]-[EMOLUMENTOS]-[TAXA DE REGISTRO]-[CORRETAGEM]-[ISS]-IF(['[D/N']]="D",    0,    [OUTRAS BOVESPA]) - [AJUSTE]</f>
        <v>61.989999999999988</v>
      </c>
      <c r="Y54" s="106">
        <f>IF(AND(['[D/N']]="D",    [T]="CV",    [LÍQUIDO BASE] &gt; 0),    TRUNC([LÍQUIDO BASE]*0.01, 2),    0)</f>
        <v>0</v>
      </c>
      <c r="Z54" s="23">
        <f>IF([PREÇO] &gt; 0,    [LÍQUIDO BASE]-SUMPRODUCT(N([DATA]=NOTAS_80[[#This Row],[DATA]]),    [IRRF FONTE]),    0)</f>
        <v>61.989999999999988</v>
      </c>
      <c r="AA54" s="106">
        <f>[LÍQUIDO]-SUMPRODUCT(N([DATA]=NOTAS_80[[#This Row],[DATA]]),N([ID]=(NOTAS_80[[#This Row],[ID]]-1)),[LÍQUIDO])</f>
        <v>212.80999999999997</v>
      </c>
      <c r="AB54" s="106">
        <f>IF([T] = "VC", ABS([VALOR OP]) / [QTDE], [VALOR OP]/[QTDE])</f>
        <v>2.1280999999999999</v>
      </c>
      <c r="AC54" s="106">
        <f>TRUNC(IF(OR([T]="CV",[T]="VV"),     N54*SETUP!$H$3,     0),2)</f>
        <v>0.01</v>
      </c>
      <c r="AD54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-100</v>
      </c>
      <c r="AE54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</v>
      </c>
      <c r="AF54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2.1280999999999999</v>
      </c>
      <c r="AG54" s="112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54" s="106">
        <f>IF([LUCRO TMP] &lt;&gt; 0, [LUCRO TMP] - SUMPRODUCT(N([ATIVO]=NOTAS_80[[#This Row],[ATIVO]]),N(['[D/N']]="N"),N([ID]&lt;NOTAS_80[[#This Row],[ID]]),N([PAR]=NOTAS_80[[#This Row],[PAR]]), [LUCRO TMP]), 0)</f>
        <v>0</v>
      </c>
      <c r="AI54" s="106">
        <f>IF([U] = "U", SUMPRODUCT(N([ID]&lt;=NOTAS_80[[#This Row],[ID]]),N([DATA BASE]=NOTAS_80[[#This Row],[DATA BASE]]), N(['[D/N']] = "N"),    [LUCRO P/ OP]), 0)</f>
        <v>0</v>
      </c>
      <c r="AJ54" s="106">
        <f>IF([U] = "U", SUMPRODUCT(N([DATA BASE]=NOTAS_80[[#This Row],[DATA BASE]]), N(['[D/N']] = "D"),    [LUCRO P/ OP]), 0)</f>
        <v>0</v>
      </c>
      <c r="AK54" s="106">
        <f>IF([U] = "U", SUMPRODUCT(N([DATA BASE]=NOTAS_80[[#This Row],[DATA BASE]]), N(['[D/N']] = "D"),    [IRRF FONTE]), 0)</f>
        <v>0</v>
      </c>
    </row>
    <row r="55" spans="1:37">
      <c r="A55" s="114">
        <v>54</v>
      </c>
      <c r="B55" s="107"/>
      <c r="C55" s="107" t="s">
        <v>173</v>
      </c>
      <c r="D55" s="114" t="s">
        <v>67</v>
      </c>
      <c r="E55" s="115">
        <v>41207</v>
      </c>
      <c r="F55" s="114">
        <v>100</v>
      </c>
      <c r="G55" s="116">
        <v>2.97</v>
      </c>
      <c r="H55" s="128"/>
      <c r="I55" s="129"/>
      <c r="J55" s="114" t="s">
        <v>6</v>
      </c>
      <c r="K55" s="108">
        <f>WORKDAY(NOTAS_80[[#This Row],[DATA]],1,0)</f>
        <v>41208</v>
      </c>
      <c r="L55" s="109">
        <f>EOMONTH(NOTAS_80[[#This Row],[DATA DE LIQUIDAÇÃO]],0)</f>
        <v>41213</v>
      </c>
      <c r="M55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55" s="106">
        <f>[QTDE]*[PREÇO]</f>
        <v>297</v>
      </c>
      <c r="O55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-297</v>
      </c>
      <c r="P55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0.08</v>
      </c>
      <c r="Q55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0.1</v>
      </c>
      <c r="R55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0.2</v>
      </c>
      <c r="S55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5.94</v>
      </c>
      <c r="T55" s="106">
        <f>TRUNC([CORR BOV] * 20% * IF([PARCIAL] &gt; 0, [QTDE] / [PARCIAL], 1),2)</f>
        <v>1.18</v>
      </c>
      <c r="U55" s="106">
        <f>SUMPRODUCT(N([DATA]=NOTAS_80[[#This Row],[DATA]]),N([ID]&lt;=NOTAS_80[[#This Row],[ID]]), [CORR])</f>
        <v>1.18</v>
      </c>
      <c r="V55" s="106">
        <f>TRUNC([CORRETAGEM]*SETUP!$F$3,2)</f>
        <v>0.02</v>
      </c>
      <c r="W55" s="106">
        <f>ROUND([CORRETAGEM]*SETUP!$G$3,2)</f>
        <v>0.05</v>
      </c>
      <c r="X55" s="106">
        <f>[VALOR LÍQUIDO DAS OPERAÇÕES]-[TAXA DE LIQUIDAÇÃO]-[EMOLUMENTOS]-[TAXA DE REGISTRO]-[CORRETAGEM]-[ISS]-IF(['[D/N']]="D",    0,    [OUTRAS BOVESPA]) - [AJUSTE]</f>
        <v>-298.63</v>
      </c>
      <c r="Y55" s="106">
        <f>IF(AND(['[D/N']]="D",    [T]="CV",    [LÍQUIDO BASE] &gt; 0),    TRUNC([LÍQUIDO BASE]*0.01, 2),    0)</f>
        <v>0</v>
      </c>
      <c r="Z55" s="23">
        <f>IF([PREÇO] &gt; 0,    [LÍQUIDO BASE]-SUMPRODUCT(N([DATA]=NOTAS_80[[#This Row],[DATA]]),    [IRRF FONTE]),    0)</f>
        <v>-298.63</v>
      </c>
      <c r="AA55" s="106">
        <f>[LÍQUIDO]-SUMPRODUCT(N([DATA]=NOTAS_80[[#This Row],[DATA]]),N([ID]=(NOTAS_80[[#This Row],[ID]]-1)),[LÍQUIDO])</f>
        <v>-298.63</v>
      </c>
      <c r="AB55" s="106">
        <f>IF([T] = "VC", ABS([VALOR OP]) / [QTDE], [VALOR OP]/[QTDE])</f>
        <v>2.9863</v>
      </c>
      <c r="AC55" s="106">
        <f>TRUNC(IF(OR([T]="CV",[T]="VV"),     N55*SETUP!$H$3,     0),2)</f>
        <v>0</v>
      </c>
      <c r="AD55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55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2.9863</v>
      </c>
      <c r="AF55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2.1280999999999999</v>
      </c>
      <c r="AG55" s="112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-85.820000000000007</v>
      </c>
      <c r="AH55" s="106">
        <f>IF([LUCRO TMP] &lt;&gt; 0, [LUCRO TMP] - SUMPRODUCT(N([ATIVO]=NOTAS_80[[#This Row],[ATIVO]]),N(['[D/N']]="N"),N([ID]&lt;NOTAS_80[[#This Row],[ID]]),N([PAR]=NOTAS_80[[#This Row],[PAR]]), [LUCRO TMP]), 0)</f>
        <v>-85.820000000000007</v>
      </c>
      <c r="AI55" s="106">
        <f>IF([U] = "U", SUMPRODUCT(N([ID]&lt;=NOTAS_80[[#This Row],[ID]]),N([DATA BASE]=NOTAS_80[[#This Row],[DATA BASE]]), N(['[D/N']] = "N"),    [LUCRO P/ OP]), 0)</f>
        <v>0</v>
      </c>
      <c r="AJ55" s="106">
        <f>IF([U] = "U", SUMPRODUCT(N([DATA BASE]=NOTAS_80[[#This Row],[DATA BASE]]), N(['[D/N']] = "D"),    [LUCRO P/ OP]), 0)</f>
        <v>0</v>
      </c>
      <c r="AK55" s="106">
        <f>IF([U] = "U", SUMPRODUCT(N([DATA BASE]=NOTAS_80[[#This Row],[DATA BASE]]), N(['[D/N']] = "D"),    [IRRF FONTE]), 0)</f>
        <v>0</v>
      </c>
    </row>
    <row r="56" spans="1:37">
      <c r="A56" s="114">
        <v>55</v>
      </c>
      <c r="B56" s="107"/>
      <c r="C56" s="13" t="s">
        <v>175</v>
      </c>
      <c r="D56" s="13" t="s">
        <v>24</v>
      </c>
      <c r="E56" s="108">
        <v>41208</v>
      </c>
      <c r="F56" s="107">
        <v>300</v>
      </c>
      <c r="G56" s="15">
        <v>0.15</v>
      </c>
      <c r="H56" s="105"/>
      <c r="I56" s="127"/>
      <c r="J56" s="107" t="s">
        <v>6</v>
      </c>
      <c r="K56" s="14">
        <f>WORKDAY(NOTAS_80[[#This Row],[DATA]],1,0)</f>
        <v>41211</v>
      </c>
      <c r="L56" s="75">
        <f>EOMONTH(NOTAS_80[[#This Row],[DATA DE LIQUIDAÇÃO]],0)</f>
        <v>41213</v>
      </c>
      <c r="M56" s="13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56" s="15">
        <f>[QTDE]*[PREÇO]</f>
        <v>45</v>
      </c>
      <c r="O56" s="15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-45</v>
      </c>
      <c r="P56" s="15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0.01</v>
      </c>
      <c r="Q56" s="15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0.01</v>
      </c>
      <c r="R56" s="15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0.03</v>
      </c>
      <c r="S56" s="15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2.7</v>
      </c>
      <c r="T56" s="15">
        <f>TRUNC([CORR BOV] * 20% * IF([PARCIAL] &gt; 0, [QTDE] / [PARCIAL], 1),2)</f>
        <v>0.54</v>
      </c>
      <c r="U56" s="15">
        <f>SUMPRODUCT(N([DATA]=NOTAS_80[[#This Row],[DATA]]),N([ID]&lt;=NOTAS_80[[#This Row],[ID]]), [CORR])</f>
        <v>0.54</v>
      </c>
      <c r="V56" s="15">
        <f>TRUNC([CORRETAGEM]*SETUP!$F$3,2)</f>
        <v>0.01</v>
      </c>
      <c r="W56" s="15">
        <f>ROUND([CORRETAGEM]*SETUP!$G$3,2)</f>
        <v>0.02</v>
      </c>
      <c r="X56" s="15">
        <f>[VALOR LÍQUIDO DAS OPERAÇÕES]-[TAXA DE LIQUIDAÇÃO]-[EMOLUMENTOS]-[TAXA DE REGISTRO]-[CORRETAGEM]-[ISS]-IF(['[D/N']]="D",    0,    [OUTRAS BOVESPA]) - [AJUSTE]</f>
        <v>-45.62</v>
      </c>
      <c r="Y56" s="15">
        <f>IF(AND(['[D/N']]="D",    [T]="CV",    [LÍQUIDO BASE] &gt; 0),    TRUNC([LÍQUIDO BASE]*0.01, 2),    0)</f>
        <v>0</v>
      </c>
      <c r="Z56" s="23">
        <f>IF([PREÇO] &gt; 0,    [LÍQUIDO BASE]-SUMPRODUCT(N([DATA]=NOTAS_80[[#This Row],[DATA]]),    [IRRF FONTE]),    0)</f>
        <v>-45.62</v>
      </c>
      <c r="AA56" s="15">
        <f>[LÍQUIDO]-SUMPRODUCT(N([DATA]=NOTAS_80[[#This Row],[DATA]]),N([ID]=(NOTAS_80[[#This Row],[ID]]-1)),[LÍQUIDO])</f>
        <v>-45.62</v>
      </c>
      <c r="AB56" s="15">
        <f>IF([T] = "VC", ABS([VALOR OP]) / [QTDE], [VALOR OP]/[QTDE])</f>
        <v>-0.15206666666666666</v>
      </c>
      <c r="AC56" s="15">
        <f>TRUNC(IF(OR([T]="CV",[T]="VV"),     N56*SETUP!$H$3,     0),2)</f>
        <v>0</v>
      </c>
      <c r="AD56" s="133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300</v>
      </c>
      <c r="AE56" s="16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0.15206666666666666</v>
      </c>
      <c r="AF56" s="16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56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56" s="15">
        <f>IF([LUCRO TMP] &lt;&gt; 0, [LUCRO TMP] - SUMPRODUCT(N([ATIVO]=NOTAS_80[[#This Row],[ATIVO]]),N(['[D/N']]="N"),N([ID]&lt;NOTAS_80[[#This Row],[ID]]),N([PAR]=NOTAS_80[[#This Row],[PAR]]), [LUCRO TMP]), 0)</f>
        <v>0</v>
      </c>
      <c r="AI56" s="15">
        <f>IF([U] = "U", SUMPRODUCT(N([ID]&lt;=NOTAS_80[[#This Row],[ID]]),N([DATA BASE]=NOTAS_80[[#This Row],[DATA BASE]]), N(['[D/N']] = "N"),    [LUCRO P/ OP]), 0)</f>
        <v>0</v>
      </c>
      <c r="AJ56" s="15">
        <f>IF([U] = "U", SUMPRODUCT(N([DATA BASE]=NOTAS_80[[#This Row],[DATA BASE]]), N(['[D/N']] = "D"),    [LUCRO P/ OP]), 0)</f>
        <v>0</v>
      </c>
      <c r="AK56" s="15">
        <f>IF([U] = "U", SUMPRODUCT(N([DATA BASE]=NOTAS_80[[#This Row],[DATA BASE]]), N(['[D/N']] = "D"),    [IRRF FONTE]), 0)</f>
        <v>0</v>
      </c>
    </row>
    <row r="57" spans="1:37">
      <c r="A57" s="13">
        <v>56</v>
      </c>
      <c r="B57" s="13" t="s">
        <v>49</v>
      </c>
      <c r="C57" s="13" t="s">
        <v>176</v>
      </c>
      <c r="D57" s="13" t="s">
        <v>24</v>
      </c>
      <c r="E57" s="108">
        <v>41208</v>
      </c>
      <c r="F57" s="107">
        <v>2500</v>
      </c>
      <c r="G57" s="15">
        <v>0.02</v>
      </c>
      <c r="H57" s="105"/>
      <c r="I57" s="127"/>
      <c r="J57" s="107" t="s">
        <v>6</v>
      </c>
      <c r="K57" s="14">
        <f>WORKDAY(NOTAS_80[[#This Row],[DATA]],1,0)</f>
        <v>41211</v>
      </c>
      <c r="L57" s="75">
        <f>EOMONTH(NOTAS_80[[#This Row],[DATA DE LIQUIDAÇÃO]],0)</f>
        <v>41213</v>
      </c>
      <c r="M57" s="13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57" s="15">
        <f>[QTDE]*[PREÇO]</f>
        <v>50</v>
      </c>
      <c r="O57" s="15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-95</v>
      </c>
      <c r="P57" s="15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0.02</v>
      </c>
      <c r="Q57" s="15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0.03</v>
      </c>
      <c r="R57" s="15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0.06</v>
      </c>
      <c r="S57" s="15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2.7</v>
      </c>
      <c r="T57" s="15">
        <f>TRUNC([CORR BOV] * 20% * IF([PARCIAL] &gt; 0, [QTDE] / [PARCIAL], 1),2)</f>
        <v>0.54</v>
      </c>
      <c r="U57" s="15">
        <f>SUMPRODUCT(N([DATA]=NOTAS_80[[#This Row],[DATA]]),N([ID]&lt;=NOTAS_80[[#This Row],[ID]]), [CORR])</f>
        <v>1.08</v>
      </c>
      <c r="V57" s="15">
        <f>TRUNC([CORRETAGEM]*SETUP!$F$3,2)</f>
        <v>0.02</v>
      </c>
      <c r="W57" s="15">
        <f>ROUND([CORRETAGEM]*SETUP!$G$3,2)</f>
        <v>0.04</v>
      </c>
      <c r="X57" s="15">
        <f>[VALOR LÍQUIDO DAS OPERAÇÕES]-[TAXA DE LIQUIDAÇÃO]-[EMOLUMENTOS]-[TAXA DE REGISTRO]-[CORRETAGEM]-[ISS]-IF(['[D/N']]="D",    0,    [OUTRAS BOVESPA]) - [AJUSTE]</f>
        <v>-96.25</v>
      </c>
      <c r="Y57" s="15">
        <f>IF(AND(['[D/N']]="D",    [T]="CV",    [LÍQUIDO BASE] &gt; 0),    TRUNC([LÍQUIDO BASE]*0.01, 2),    0)</f>
        <v>0</v>
      </c>
      <c r="Z57" s="23">
        <f>IF([PREÇO] &gt; 0,    [LÍQUIDO BASE]-SUMPRODUCT(N([DATA]=NOTAS_80[[#This Row],[DATA]]),    [IRRF FONTE]),    0)</f>
        <v>-96.25</v>
      </c>
      <c r="AA57" s="15">
        <f>[LÍQUIDO]-SUMPRODUCT(N([DATA]=NOTAS_80[[#This Row],[DATA]]),N([ID]=(NOTAS_80[[#This Row],[ID]]-1)),[LÍQUIDO])</f>
        <v>-50.63</v>
      </c>
      <c r="AB57" s="15">
        <f>IF([T] = "VC", ABS([VALOR OP]) / [QTDE], [VALOR OP]/[QTDE])</f>
        <v>-2.0252000000000003E-2</v>
      </c>
      <c r="AC57" s="15">
        <f>TRUNC(IF(OR([T]="CV",[T]="VV"),     N57*SETUP!$H$3,     0),2)</f>
        <v>0</v>
      </c>
      <c r="AD57" s="133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2500</v>
      </c>
      <c r="AE57" s="16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2.0252000000000003E-2</v>
      </c>
      <c r="AF57" s="16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57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57" s="15">
        <f>IF([LUCRO TMP] &lt;&gt; 0, [LUCRO TMP] - SUMPRODUCT(N([ATIVO]=NOTAS_80[[#This Row],[ATIVO]]),N(['[D/N']]="N"),N([ID]&lt;NOTAS_80[[#This Row],[ID]]),N([PAR]=NOTAS_80[[#This Row],[PAR]]), [LUCRO TMP]), 0)</f>
        <v>0</v>
      </c>
      <c r="AI57" s="15">
        <f>IF([U] = "U", SUMPRODUCT(N([ID]&lt;=NOTAS_80[[#This Row],[ID]]),N([DATA BASE]=NOTAS_80[[#This Row],[DATA BASE]]), N(['[D/N']] = "N"),    [LUCRO P/ OP]), 0)</f>
        <v>-86.930000000000035</v>
      </c>
      <c r="AJ57" s="15">
        <f>IF([U] = "U", SUMPRODUCT(N([DATA BASE]=NOTAS_80[[#This Row],[DATA BASE]]), N(['[D/N']] = "D"),    [LUCRO P/ OP]), 0)</f>
        <v>0</v>
      </c>
      <c r="AK57" s="15">
        <f>IF([U] = "U", SUMPRODUCT(N([DATA BASE]=NOTAS_80[[#This Row],[DATA BASE]]), N(['[D/N']] = "D"),    [IRRF FONTE]), 0)</f>
        <v>0</v>
      </c>
    </row>
    <row r="58" spans="1:37">
      <c r="A58" s="114">
        <v>57</v>
      </c>
      <c r="B58" s="107"/>
      <c r="C58" s="13" t="s">
        <v>176</v>
      </c>
      <c r="D58" s="134" t="s">
        <v>25</v>
      </c>
      <c r="E58" s="115">
        <v>41211</v>
      </c>
      <c r="F58" s="114">
        <v>2500</v>
      </c>
      <c r="G58" s="116">
        <v>0.02</v>
      </c>
      <c r="H58" s="128"/>
      <c r="I58" s="129"/>
      <c r="J58" s="114" t="s">
        <v>6</v>
      </c>
      <c r="K58" s="14">
        <f>WORKDAY(NOTAS_80[[#This Row],[DATA]],1,0)</f>
        <v>41212</v>
      </c>
      <c r="L58" s="75">
        <f>EOMONTH(NOTAS_80[[#This Row],[DATA DE LIQUIDAÇÃO]],0)</f>
        <v>41213</v>
      </c>
      <c r="M58" s="13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58" s="15">
        <f>[QTDE]*[PREÇO]</f>
        <v>50</v>
      </c>
      <c r="O58" s="15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50</v>
      </c>
      <c r="P58" s="15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0.01</v>
      </c>
      <c r="Q58" s="15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0.01</v>
      </c>
      <c r="R58" s="15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0.03</v>
      </c>
      <c r="S58" s="15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2.7</v>
      </c>
      <c r="T58" s="15">
        <f>TRUNC([CORR BOV] * 20% * IF([PARCIAL] &gt; 0, [QTDE] / [PARCIAL], 1),2)</f>
        <v>0.54</v>
      </c>
      <c r="U58" s="15">
        <f>SUMPRODUCT(N([DATA]=NOTAS_80[[#This Row],[DATA]]),N([ID]&lt;=NOTAS_80[[#This Row],[ID]]), [CORR])</f>
        <v>0.54</v>
      </c>
      <c r="V58" s="15">
        <f>TRUNC([CORRETAGEM]*SETUP!$F$3,2)</f>
        <v>0.01</v>
      </c>
      <c r="W58" s="15">
        <f>ROUND([CORRETAGEM]*SETUP!$G$3,2)</f>
        <v>0.02</v>
      </c>
      <c r="X58" s="15">
        <f>[VALOR LÍQUIDO DAS OPERAÇÕES]-[TAXA DE LIQUIDAÇÃO]-[EMOLUMENTOS]-[TAXA DE REGISTRO]-[CORRETAGEM]-[ISS]-IF(['[D/N']]="D",    0,    [OUTRAS BOVESPA]) - [AJUSTE]</f>
        <v>49.38</v>
      </c>
      <c r="Y58" s="15">
        <f>IF(AND(['[D/N']]="D",    [T]="CV",    [LÍQUIDO BASE] &gt; 0),    TRUNC([LÍQUIDO BASE]*0.01, 2),    0)</f>
        <v>0</v>
      </c>
      <c r="Z58" s="23">
        <f>IF([PREÇO] &gt; 0,    [LÍQUIDO BASE]-SUMPRODUCT(N([DATA]=NOTAS_80[[#This Row],[DATA]]),    [IRRF FONTE]),    0)</f>
        <v>49.38</v>
      </c>
      <c r="AA58" s="15">
        <f>[LÍQUIDO]-SUMPRODUCT(N([DATA]=NOTAS_80[[#This Row],[DATA]]),N([ID]=(NOTAS_80[[#This Row],[ID]]-1)),[LÍQUIDO])</f>
        <v>49.38</v>
      </c>
      <c r="AB58" s="15">
        <f>IF([T] = "VC", ABS([VALOR OP]) / [QTDE], [VALOR OP]/[QTDE])</f>
        <v>1.9752000000000002E-2</v>
      </c>
      <c r="AC58" s="15">
        <f>TRUNC(IF(OR([T]="CV",[T]="VV"),     N58*SETUP!$H$3,     0),2)</f>
        <v>0</v>
      </c>
      <c r="AD58" s="133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58" s="16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2.0252000000000003E-2</v>
      </c>
      <c r="AF58" s="16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1.9752000000000002E-2</v>
      </c>
      <c r="AG58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-1.2500000000000011</v>
      </c>
      <c r="AH58" s="15">
        <f>IF([LUCRO TMP] &lt;&gt; 0, [LUCRO TMP] - SUMPRODUCT(N([ATIVO]=NOTAS_80[[#This Row],[ATIVO]]),N(['[D/N']]="N"),N([ID]&lt;NOTAS_80[[#This Row],[ID]]),N([PAR]=NOTAS_80[[#This Row],[PAR]]), [LUCRO TMP]), 0)</f>
        <v>-1.2500000000000011</v>
      </c>
      <c r="AI58" s="15">
        <f>IF([U] = "U", SUMPRODUCT(N([ID]&lt;=NOTAS_80[[#This Row],[ID]]),N([DATA BASE]=NOTAS_80[[#This Row],[DATA BASE]]), N(['[D/N']] = "N"),    [LUCRO P/ OP]), 0)</f>
        <v>0</v>
      </c>
      <c r="AJ58" s="15">
        <f>IF([U] = "U", SUMPRODUCT(N([DATA BASE]=NOTAS_80[[#This Row],[DATA BASE]]), N(['[D/N']] = "D"),    [LUCRO P/ OP]), 0)</f>
        <v>0</v>
      </c>
      <c r="AK58" s="15">
        <f>IF([U] = "U", SUMPRODUCT(N([DATA BASE]=NOTAS_80[[#This Row],[DATA BASE]]), N(['[D/N']] = "D"),    [IRRF FONTE]), 0)</f>
        <v>0</v>
      </c>
    </row>
    <row r="59" spans="1:37">
      <c r="A59" s="114">
        <v>58</v>
      </c>
      <c r="B59" s="107"/>
      <c r="C59" s="13" t="s">
        <v>175</v>
      </c>
      <c r="D59" s="134" t="s">
        <v>25</v>
      </c>
      <c r="E59" s="115">
        <v>41212</v>
      </c>
      <c r="F59" s="114">
        <v>300</v>
      </c>
      <c r="G59" s="116">
        <v>0.12</v>
      </c>
      <c r="H59" s="128"/>
      <c r="I59" s="129"/>
      <c r="J59" s="114" t="s">
        <v>6</v>
      </c>
      <c r="K59" s="14">
        <f>WORKDAY(NOTAS_80[[#This Row],[DATA]],1,0)</f>
        <v>41213</v>
      </c>
      <c r="L59" s="75">
        <f>EOMONTH(NOTAS_80[[#This Row],[DATA DE LIQUIDAÇÃO]],0)</f>
        <v>41213</v>
      </c>
      <c r="M59" s="13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59" s="15">
        <f>[QTDE]*[PREÇO]</f>
        <v>36</v>
      </c>
      <c r="O59" s="15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36</v>
      </c>
      <c r="P59" s="15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</v>
      </c>
      <c r="Q59" s="15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0.01</v>
      </c>
      <c r="R59" s="15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0.02</v>
      </c>
      <c r="S59" s="15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2.7</v>
      </c>
      <c r="T59" s="15">
        <f>TRUNC([CORR BOV] * 20% * IF([PARCIAL] &gt; 0, [QTDE] / [PARCIAL], 1),2)</f>
        <v>0.54</v>
      </c>
      <c r="U59" s="15">
        <f>SUMPRODUCT(N([DATA]=NOTAS_80[[#This Row],[DATA]]),N([ID]&lt;=NOTAS_80[[#This Row],[ID]]), [CORR])</f>
        <v>0.54</v>
      </c>
      <c r="V59" s="15">
        <f>TRUNC([CORRETAGEM]*SETUP!$F$3,2)</f>
        <v>0.01</v>
      </c>
      <c r="W59" s="15">
        <f>ROUND([CORRETAGEM]*SETUP!$G$3,2)</f>
        <v>0.02</v>
      </c>
      <c r="X59" s="15">
        <f>[VALOR LÍQUIDO DAS OPERAÇÕES]-[TAXA DE LIQUIDAÇÃO]-[EMOLUMENTOS]-[TAXA DE REGISTRO]-[CORRETAGEM]-[ISS]-IF(['[D/N']]="D",    0,    [OUTRAS BOVESPA]) - [AJUSTE]</f>
        <v>35.4</v>
      </c>
      <c r="Y59" s="15">
        <f>IF(AND(['[D/N']]="D",    [T]="CV",    [LÍQUIDO BASE] &gt; 0),    TRUNC([LÍQUIDO BASE]*0.01, 2),    0)</f>
        <v>0</v>
      </c>
      <c r="Z59" s="23">
        <f>IF([PREÇO] &gt; 0,    [LÍQUIDO BASE]-SUMPRODUCT(N([DATA]=NOTAS_80[[#This Row],[DATA]]),    [IRRF FONTE]),    0)</f>
        <v>35.4</v>
      </c>
      <c r="AA59" s="15">
        <f>[LÍQUIDO]-SUMPRODUCT(N([DATA]=NOTAS_80[[#This Row],[DATA]]),N([ID]=(NOTAS_80[[#This Row],[ID]]-1)),[LÍQUIDO])</f>
        <v>35.4</v>
      </c>
      <c r="AB59" s="15">
        <f>IF([T] = "VC", ABS([VALOR OP]) / [QTDE], [VALOR OP]/[QTDE])</f>
        <v>0.11799999999999999</v>
      </c>
      <c r="AC59" s="15">
        <f>TRUNC(IF(OR([T]="CV",[T]="VV"),     N59*SETUP!$H$3,     0),2)</f>
        <v>0</v>
      </c>
      <c r="AD59" s="133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59" s="16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0.15206666666666666</v>
      </c>
      <c r="AF59" s="16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0.11799999999999999</v>
      </c>
      <c r="AG59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-10.219999999999999</v>
      </c>
      <c r="AH59" s="15">
        <f>IF([LUCRO TMP] &lt;&gt; 0, [LUCRO TMP] - SUMPRODUCT(N([ATIVO]=NOTAS_80[[#This Row],[ATIVO]]),N(['[D/N']]="N"),N([ID]&lt;NOTAS_80[[#This Row],[ID]]),N([PAR]=NOTAS_80[[#This Row],[PAR]]), [LUCRO TMP]), 0)</f>
        <v>-10.219999999999999</v>
      </c>
      <c r="AI59" s="15">
        <f>IF([U] = "U", SUMPRODUCT(N([ID]&lt;=NOTAS_80[[#This Row],[ID]]),N([DATA BASE]=NOTAS_80[[#This Row],[DATA BASE]]), N(['[D/N']] = "N"),    [LUCRO P/ OP]), 0)</f>
        <v>0</v>
      </c>
      <c r="AJ59" s="15">
        <f>IF([U] = "U", SUMPRODUCT(N([DATA BASE]=NOTAS_80[[#This Row],[DATA BASE]]), N(['[D/N']] = "D"),    [LUCRO P/ OP]), 0)</f>
        <v>0</v>
      </c>
      <c r="AK59" s="15">
        <f>IF([U] = "U", SUMPRODUCT(N([DATA BASE]=NOTAS_80[[#This Row],[DATA BASE]]), N(['[D/N']] = "D"),    [IRRF FONTE]), 0)</f>
        <v>0</v>
      </c>
    </row>
    <row r="60" spans="1:37">
      <c r="A60" s="13">
        <v>59</v>
      </c>
      <c r="B60" s="107"/>
      <c r="C60" s="107" t="s">
        <v>174</v>
      </c>
      <c r="D60" s="107" t="s">
        <v>25</v>
      </c>
      <c r="E60" s="108">
        <v>41213</v>
      </c>
      <c r="F60" s="107">
        <v>100</v>
      </c>
      <c r="G60" s="15">
        <v>2.4</v>
      </c>
      <c r="H60" s="105"/>
      <c r="I60" s="127"/>
      <c r="J60" s="107" t="s">
        <v>6</v>
      </c>
      <c r="K60" s="108">
        <f>WORKDAY(NOTAS_80[[#This Row],[DATA]],1,0)</f>
        <v>41214</v>
      </c>
      <c r="L60" s="109">
        <f>EOMONTH(NOTAS_80[[#This Row],[DATA DE LIQUIDAÇÃO]],0)</f>
        <v>41243</v>
      </c>
      <c r="M60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60" s="106">
        <f>[QTDE]*[PREÇO]</f>
        <v>240</v>
      </c>
      <c r="O60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240</v>
      </c>
      <c r="P60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0.06</v>
      </c>
      <c r="Q60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0.08</v>
      </c>
      <c r="R60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0.16</v>
      </c>
      <c r="S60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4.8</v>
      </c>
      <c r="T60" s="106">
        <f>TRUNC([CORR BOV] * 20% * IF([PARCIAL] &gt; 0, [QTDE] / [PARCIAL], 1),2)</f>
        <v>0.96</v>
      </c>
      <c r="U60" s="106">
        <f>SUMPRODUCT(N([DATA]=NOTAS_80[[#This Row],[DATA]]),N([ID]&lt;=NOTAS_80[[#This Row],[ID]]), [CORR])</f>
        <v>0.96</v>
      </c>
      <c r="V60" s="106">
        <f>TRUNC([CORRETAGEM]*SETUP!$F$3,2)</f>
        <v>0.01</v>
      </c>
      <c r="W60" s="106">
        <f>ROUND([CORRETAGEM]*SETUP!$G$3,2)</f>
        <v>0.04</v>
      </c>
      <c r="X60" s="106">
        <f>[VALOR LÍQUIDO DAS OPERAÇÕES]-[TAXA DE LIQUIDAÇÃO]-[EMOLUMENTOS]-[TAXA DE REGISTRO]-[CORRETAGEM]-[ISS]-IF(['[D/N']]="D",    0,    [OUTRAS BOVESPA]) - [AJUSTE]</f>
        <v>238.69</v>
      </c>
      <c r="Y60" s="106">
        <f>IF(AND(['[D/N']]="D",    [T]="CV",    [LÍQUIDO BASE] &gt; 0),    TRUNC([LÍQUIDO BASE]*0.01, 2),    0)</f>
        <v>0</v>
      </c>
      <c r="Z60" s="23">
        <f>IF([PREÇO] &gt; 0,    [LÍQUIDO BASE]-SUMPRODUCT(N([DATA]=NOTAS_80[[#This Row],[DATA]]),    [IRRF FONTE]),    0)</f>
        <v>238.69</v>
      </c>
      <c r="AA60" s="106">
        <f>[LÍQUIDO]-SUMPRODUCT(N([DATA]=NOTAS_80[[#This Row],[DATA]]),N([ID]=(NOTAS_80[[#This Row],[ID]]-1)),[LÍQUIDO])</f>
        <v>238.69</v>
      </c>
      <c r="AB60" s="106">
        <f>IF([T] = "VC", ABS([VALOR OP]) / [QTDE], [VALOR OP]/[QTDE])</f>
        <v>2.3868999999999998</v>
      </c>
      <c r="AC60" s="106">
        <f>TRUNC(IF(OR([T]="CV",[T]="VV"),     N60*SETUP!$H$3,     0),2)</f>
        <v>0.01</v>
      </c>
      <c r="AD60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60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1.5082</v>
      </c>
      <c r="AF60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2.3868999999999998</v>
      </c>
      <c r="AG60" s="112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87.869999999999976</v>
      </c>
      <c r="AH60" s="106">
        <f>IF([LUCRO TMP] &lt;&gt; 0, [LUCRO TMP] - SUMPRODUCT(N([ATIVO]=NOTAS_80[[#This Row],[ATIVO]]),N(['[D/N']]="N"),N([ID]&lt;NOTAS_80[[#This Row],[ID]]),N([PAR]=NOTAS_80[[#This Row],[PAR]]), [LUCRO TMP]), 0)</f>
        <v>87.869999999999976</v>
      </c>
      <c r="AI60" s="106">
        <f>IF([U] = "U", SUMPRODUCT(N([ID]&lt;=NOTAS_80[[#This Row],[ID]]),N([DATA BASE]=NOTAS_80[[#This Row],[DATA BASE]]), N(['[D/N']] = "N"),    [LUCRO P/ OP]), 0)</f>
        <v>0</v>
      </c>
      <c r="AJ60" s="106">
        <f>IF([U] = "U", SUMPRODUCT(N([DATA BASE]=NOTAS_80[[#This Row],[DATA BASE]]), N(['[D/N']] = "D"),    [LUCRO P/ OP]), 0)</f>
        <v>0</v>
      </c>
      <c r="AK60" s="106">
        <f>IF([U] = "U", SUMPRODUCT(N([DATA BASE]=NOTAS_80[[#This Row],[DATA BASE]]), N(['[D/N']] = "D"),    [IRRF FONTE]), 0)</f>
        <v>0</v>
      </c>
    </row>
    <row r="61" spans="1:37">
      <c r="A61" s="114">
        <v>60</v>
      </c>
      <c r="B61" s="107"/>
      <c r="C61" s="107" t="s">
        <v>171</v>
      </c>
      <c r="D61" s="107" t="s">
        <v>25</v>
      </c>
      <c r="E61" s="108">
        <v>41214</v>
      </c>
      <c r="F61" s="107">
        <v>200</v>
      </c>
      <c r="G61" s="15">
        <v>0.75</v>
      </c>
      <c r="H61" s="105"/>
      <c r="I61" s="127"/>
      <c r="J61" s="107" t="s">
        <v>6</v>
      </c>
      <c r="K61" s="108">
        <f>WORKDAY(NOTAS_80[[#This Row],[DATA]],1,0)</f>
        <v>41215</v>
      </c>
      <c r="L61" s="109">
        <f>EOMONTH(NOTAS_80[[#This Row],[DATA DE LIQUIDAÇÃO]],0)</f>
        <v>41243</v>
      </c>
      <c r="M61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61" s="106">
        <f>[QTDE]*[PREÇO]</f>
        <v>150</v>
      </c>
      <c r="O61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150</v>
      </c>
      <c r="P61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0.04</v>
      </c>
      <c r="Q61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0.05</v>
      </c>
      <c r="R61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0.1</v>
      </c>
      <c r="S61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3</v>
      </c>
      <c r="T61" s="106">
        <f>TRUNC([CORR BOV] * 20% * IF([PARCIAL] &gt; 0, [QTDE] / [PARCIAL], 1),2)</f>
        <v>0.6</v>
      </c>
      <c r="U61" s="106">
        <f>SUMPRODUCT(N([DATA]=NOTAS_80[[#This Row],[DATA]]),N([ID]&lt;=NOTAS_80[[#This Row],[ID]]), [CORR])</f>
        <v>0.6</v>
      </c>
      <c r="V61" s="106">
        <f>TRUNC([CORRETAGEM]*SETUP!$F$3,2)</f>
        <v>0.01</v>
      </c>
      <c r="W61" s="106">
        <f>ROUND([CORRETAGEM]*SETUP!$G$3,2)</f>
        <v>0.02</v>
      </c>
      <c r="X61" s="106">
        <f>[VALOR LÍQUIDO DAS OPERAÇÕES]-[TAXA DE LIQUIDAÇÃO]-[EMOLUMENTOS]-[TAXA DE REGISTRO]-[CORRETAGEM]-[ISS]-IF(['[D/N']]="D",    0,    [OUTRAS BOVESPA]) - [AJUSTE]</f>
        <v>149.18</v>
      </c>
      <c r="Y61" s="106">
        <f>IF(AND(['[D/N']]="D",    [T]="CV",    [LÍQUIDO BASE] &gt; 0),    TRUNC([LÍQUIDO BASE]*0.01, 2),    0)</f>
        <v>0</v>
      </c>
      <c r="Z61" s="23">
        <f>IF([PREÇO] &gt; 0,    [LÍQUIDO BASE]-SUMPRODUCT(N([DATA]=NOTAS_80[[#This Row],[DATA]]),    [IRRF FONTE]),    0)</f>
        <v>149.18</v>
      </c>
      <c r="AA61" s="106">
        <f>[LÍQUIDO]-SUMPRODUCT(N([DATA]=NOTAS_80[[#This Row],[DATA]]),N([ID]=(NOTAS_80[[#This Row],[ID]]-1)),[LÍQUIDO])</f>
        <v>149.18</v>
      </c>
      <c r="AB61" s="106">
        <f>IF([T] = "VC", ABS([VALOR OP]) / [QTDE], [VALOR OP]/[QTDE])</f>
        <v>0.74590000000000001</v>
      </c>
      <c r="AC61" s="106">
        <f>TRUNC(IF(OR([T]="CV",[T]="VV"),     N61*SETUP!$H$3,     0),2)</f>
        <v>0</v>
      </c>
      <c r="AD61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61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0.77415000000000012</v>
      </c>
      <c r="AF61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0.74590000000000001</v>
      </c>
      <c r="AG61" s="112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-5.6500000000000217</v>
      </c>
      <c r="AH61" s="106">
        <f>IF([LUCRO TMP] &lt;&gt; 0, [LUCRO TMP] - SUMPRODUCT(N([ATIVO]=NOTAS_80[[#This Row],[ATIVO]]),N(['[D/N']]="N"),N([ID]&lt;NOTAS_80[[#This Row],[ID]]),N([PAR]=NOTAS_80[[#This Row],[PAR]]), [LUCRO TMP]), 0)</f>
        <v>-5.6500000000000217</v>
      </c>
      <c r="AI61" s="106">
        <f>IF([U] = "U", SUMPRODUCT(N([ID]&lt;=NOTAS_80[[#This Row],[ID]]),N([DATA BASE]=NOTAS_80[[#This Row],[DATA BASE]]), N(['[D/N']] = "N"),    [LUCRO P/ OP]), 0)</f>
        <v>0</v>
      </c>
      <c r="AJ61" s="106">
        <f>IF([U] = "U", SUMPRODUCT(N([DATA BASE]=NOTAS_80[[#This Row],[DATA BASE]]), N(['[D/N']] = "D"),    [LUCRO P/ OP]), 0)</f>
        <v>0</v>
      </c>
      <c r="AK61" s="106">
        <f>IF([U] = "U", SUMPRODUCT(N([DATA BASE]=NOTAS_80[[#This Row],[DATA BASE]]), N(['[D/N']] = "D"),    [IRRF FONTE]), 0)</f>
        <v>0</v>
      </c>
    </row>
    <row r="62" spans="1:37">
      <c r="A62" s="130">
        <f>SUBTOTAL(104,[ID])</f>
        <v>60</v>
      </c>
      <c r="B62" s="130"/>
      <c r="C62" s="130"/>
      <c r="D62" s="130"/>
      <c r="E62" s="130"/>
      <c r="F62" s="130"/>
      <c r="G62" s="130"/>
      <c r="H62" s="78"/>
      <c r="I62" s="15"/>
      <c r="J62" s="130"/>
      <c r="K62" s="130"/>
      <c r="L62" s="130"/>
      <c r="M62" s="130"/>
      <c r="N62" s="130"/>
      <c r="O62" s="130"/>
      <c r="P62" s="130"/>
      <c r="Q62" s="130"/>
      <c r="R62" s="130"/>
      <c r="S62" s="130"/>
      <c r="T62" s="130"/>
      <c r="U62" s="130"/>
      <c r="V62" s="130"/>
      <c r="W62" s="130"/>
      <c r="X62" s="15"/>
      <c r="Y62" s="130"/>
      <c r="Z62" s="15"/>
      <c r="AA62" s="15"/>
      <c r="AB62" s="130"/>
      <c r="AC62" s="15">
        <f>SUBTOTAL(109,[IRRF])</f>
        <v>0.72000000000000008</v>
      </c>
      <c r="AD62" s="15"/>
      <c r="AE62" s="130"/>
      <c r="AF62" s="130"/>
      <c r="AG62" s="15"/>
      <c r="AH62" s="15">
        <f>SUBTOTAL(109,[LUCRO P/ OP])</f>
        <v>1017.4900000000001</v>
      </c>
      <c r="AI62" s="15"/>
      <c r="AJ62" s="131"/>
      <c r="AK62" s="132"/>
    </row>
    <row r="64" spans="1:37">
      <c r="AH64" s="24"/>
    </row>
  </sheetData>
  <pageMargins left="0.511811024" right="0.511811024" top="0.78740157499999996" bottom="0.78740157499999996" header="0.31496062000000002" footer="0.31496062000000002"/>
  <pageSetup paperSize="9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 codeName="Plan5"/>
  <dimension ref="A1:O10"/>
  <sheetViews>
    <sheetView workbookViewId="0">
      <pane xSplit="7" ySplit="1" topLeftCell="H2" activePane="bottomRight" state="frozen"/>
      <selection pane="topRight" activeCell="H1" sqref="H1"/>
      <selection pane="bottomLeft" activeCell="A2" sqref="A2"/>
      <selection pane="bottomRight" activeCell="C25" sqref="C25"/>
    </sheetView>
  </sheetViews>
  <sheetFormatPr defaultRowHeight="11.25"/>
  <cols>
    <col min="1" max="1" width="9.140625" style="7"/>
    <col min="2" max="2" width="10" style="7" bestFit="1" customWidth="1"/>
    <col min="3" max="3" width="12.140625" style="7" bestFit="1" customWidth="1"/>
    <col min="4" max="4" width="8.42578125" style="7" bestFit="1" customWidth="1"/>
    <col min="5" max="5" width="10" style="7" bestFit="1" customWidth="1"/>
    <col min="6" max="6" width="12.140625" style="7" bestFit="1" customWidth="1"/>
    <col min="7" max="7" width="8.42578125" style="7" bestFit="1" customWidth="1"/>
    <col min="8" max="8" width="9.85546875" style="7" bestFit="1" customWidth="1"/>
    <col min="9" max="9" width="8.28515625" style="7" bestFit="1" customWidth="1"/>
    <col min="10" max="11" width="12.28515625" style="7" bestFit="1" customWidth="1"/>
    <col min="12" max="12" width="6.85546875" style="7" bestFit="1" customWidth="1"/>
    <col min="13" max="14" width="12" style="7" bestFit="1" customWidth="1"/>
    <col min="15" max="16384" width="9.140625" style="7"/>
  </cols>
  <sheetData>
    <row r="1" spans="1:15">
      <c r="A1" s="7" t="s">
        <v>16</v>
      </c>
      <c r="B1" s="7" t="s">
        <v>53</v>
      </c>
      <c r="C1" s="7" t="s">
        <v>116</v>
      </c>
      <c r="D1" s="7" t="s">
        <v>120</v>
      </c>
      <c r="E1" s="7" t="s">
        <v>117</v>
      </c>
      <c r="F1" s="7" t="s">
        <v>118</v>
      </c>
      <c r="G1" s="7" t="s">
        <v>121</v>
      </c>
      <c r="H1" s="7" t="s">
        <v>119</v>
      </c>
      <c r="I1" s="7" t="s">
        <v>124</v>
      </c>
      <c r="J1" s="7" t="s">
        <v>122</v>
      </c>
      <c r="K1" s="7" t="s">
        <v>123</v>
      </c>
      <c r="L1" s="7" t="s">
        <v>18</v>
      </c>
      <c r="M1" s="7" t="s">
        <v>48</v>
      </c>
      <c r="N1" s="7" t="s">
        <v>125</v>
      </c>
    </row>
    <row r="2" spans="1:15">
      <c r="A2" s="72">
        <v>40969</v>
      </c>
      <c r="B2" s="25">
        <v>-656.81</v>
      </c>
      <c r="C2" s="25">
        <v>0</v>
      </c>
      <c r="D2" s="25">
        <v>0</v>
      </c>
      <c r="E2" s="25">
        <v>478.51</v>
      </c>
      <c r="F2" s="25">
        <v>0</v>
      </c>
      <c r="G2" s="25">
        <v>4.78</v>
      </c>
      <c r="H2" s="25">
        <f>IF([LUCRO '[N']] + [DEDUÇÃO '[N']] &gt; 0, 0, [LUCRO '[N']] + [DEDUÇÃO '[N']])</f>
        <v>-656.81</v>
      </c>
      <c r="I2" s="25">
        <f>IF([LUCRO '[D']] + [DEDUÇÃO '[D']] &gt; 0, 0, [LUCRO '[D']] + [DEDUÇÃO '[D']])</f>
        <v>0</v>
      </c>
      <c r="J2" s="25">
        <f>IF([ACC '[N']] = 0, ROUND(([LUCRO '[N']] + [DEDUÇÃO '[N']]) * 15%, 2) - [IRRF '[N']], 0)</f>
        <v>0</v>
      </c>
      <c r="K2" s="25">
        <f>IF([ACC '[D']] = 0, ROUND(([LUCRO '[D']] + [DEDUÇÃO '[D']]) * 20%, 2) - [IRRF '[D']], 0)</f>
        <v>90.92</v>
      </c>
      <c r="L2" s="25">
        <f>[IRRF '[N']] + [IRRF '[D']]</f>
        <v>4.78</v>
      </c>
      <c r="M2" s="25">
        <f>[IR DEVIDO '[N']] + [IR DEVIDO '[D']]</f>
        <v>90.92</v>
      </c>
      <c r="N2" s="39">
        <f>[LUCRO '[N']] + [LUCRO '[D']] - [IR DEVIDO] - [IRRF '[N']] - [IRRF '[D']]</f>
        <v>-273.99999999999994</v>
      </c>
    </row>
    <row r="3" spans="1:15">
      <c r="A3" s="72">
        <v>41000</v>
      </c>
      <c r="B3" s="73">
        <v>-958.08</v>
      </c>
      <c r="C3" s="73">
        <v>0</v>
      </c>
      <c r="D3" s="73">
        <v>0</v>
      </c>
      <c r="E3" s="73">
        <v>0</v>
      </c>
      <c r="F3" s="73">
        <v>0</v>
      </c>
      <c r="G3" s="73">
        <v>0</v>
      </c>
      <c r="H3" s="73">
        <f>IF([LUCRO '[N']] + [DEDUÇÃO '[N']] &gt; 0, 0, [LUCRO '[N']] + [DEDUÇÃO '[N']])</f>
        <v>-958.08</v>
      </c>
      <c r="I3" s="73">
        <f>IF([LUCRO '[D']] + [DEDUÇÃO '[D']] &gt; 0, 0, [LUCRO '[D']] + [DEDUÇÃO '[D']])</f>
        <v>0</v>
      </c>
      <c r="J3" s="73">
        <f>IF([ACC '[N']] = 0, ROUND(([LUCRO '[N']] + [DEDUÇÃO '[N']]) * 15%, 2) - [IRRF '[N']], 0)</f>
        <v>0</v>
      </c>
      <c r="K3" s="73">
        <f>IF([ACC '[D']] = 0, ROUND(([LUCRO '[D']] + [DEDUÇÃO '[D']]) * 20%, 2) - [IRRF '[D']], 0)</f>
        <v>0</v>
      </c>
      <c r="L3" s="73">
        <f>[IRRF '[N']] + [IRRF '[D']]</f>
        <v>0</v>
      </c>
      <c r="M3" s="73">
        <f>[IR DEVIDO '[N']] + [IR DEVIDO '[D']]</f>
        <v>0</v>
      </c>
      <c r="N3" s="39">
        <f>[LUCRO '[N']] + [LUCRO '[D']] - [IR DEVIDO] - [IRRF '[N']] - [IRRF '[D']]</f>
        <v>-958.08</v>
      </c>
    </row>
    <row r="4" spans="1:15">
      <c r="A4" s="72">
        <v>41030</v>
      </c>
      <c r="B4" s="73">
        <v>431.77</v>
      </c>
      <c r="C4" s="73">
        <v>-1614.89</v>
      </c>
      <c r="D4" s="73">
        <v>0</v>
      </c>
      <c r="E4" s="73">
        <v>0</v>
      </c>
      <c r="F4" s="73">
        <v>0</v>
      </c>
      <c r="G4" s="73">
        <v>0</v>
      </c>
      <c r="H4" s="73">
        <f>IF([LUCRO '[N']] + [DEDUÇÃO '[N']] &gt; 0, 0, [LUCRO '[N']] + [DEDUÇÃO '[N']])</f>
        <v>-1183.1200000000001</v>
      </c>
      <c r="I4" s="73">
        <f>IF([LUCRO '[D']] + [DEDUÇÃO '[D']] &gt; 0, 0, [LUCRO '[D']] + [DEDUÇÃO '[D']])</f>
        <v>0</v>
      </c>
      <c r="J4" s="73">
        <f>IF([ACC '[N']] = 0, ROUND(([LUCRO '[N']] + [DEDUÇÃO '[N']]) * 15%, 2) - [IRRF '[N']], 0)</f>
        <v>0</v>
      </c>
      <c r="K4" s="73">
        <f>IF([ACC '[D']] = 0, ROUND(([LUCRO '[D']] + [DEDUÇÃO '[D']]) * 20%, 2) - [IRRF '[D']], 0)</f>
        <v>0</v>
      </c>
      <c r="L4" s="73">
        <f>[IRRF '[N']] + [IRRF '[D']]</f>
        <v>0</v>
      </c>
      <c r="M4" s="73">
        <f>[IR DEVIDO '[N']] + [IR DEVIDO '[D']]</f>
        <v>0</v>
      </c>
      <c r="N4" s="39">
        <f>[LUCRO '[N']] + [LUCRO '[D']] - [IR DEVIDO] - [IRRF '[N']] - [IRRF '[D']]</f>
        <v>431.77</v>
      </c>
    </row>
    <row r="5" spans="1:15">
      <c r="A5" s="72">
        <v>41061</v>
      </c>
      <c r="B5" s="73">
        <v>1329.34</v>
      </c>
      <c r="C5" s="73">
        <v>-1183.1199999999999</v>
      </c>
      <c r="D5" s="73">
        <v>0.17</v>
      </c>
      <c r="E5" s="73">
        <v>58.62</v>
      </c>
      <c r="F5" s="73">
        <v>0</v>
      </c>
      <c r="G5" s="73">
        <v>0.57999999999999996</v>
      </c>
      <c r="H5" s="73">
        <f>IF([LUCRO '[N']] + [DEDUÇÃO '[N']] &gt; 0, 0, [LUCRO '[N']] + [DEDUÇÃO '[N']])</f>
        <v>0</v>
      </c>
      <c r="I5" s="73">
        <f>IF([LUCRO '[D']] + [DEDUÇÃO '[D']] &gt; 0, 0, [LUCRO '[D']] + [DEDUÇÃO '[D']])</f>
        <v>0</v>
      </c>
      <c r="J5" s="73">
        <f>IF([ACC '[N']] = 0, ROUND(([LUCRO '[N']] + [DEDUÇÃO '[N']]) * 15%, 2) - [IRRF '[N']], 0)</f>
        <v>21.759999999999998</v>
      </c>
      <c r="K5" s="73">
        <f>IF([ACC '[D']] = 0, ROUND(([LUCRO '[D']] + [DEDUÇÃO '[D']]) * 20%, 2) - [IRRF '[D']], 0)</f>
        <v>11.14</v>
      </c>
      <c r="L5" s="73">
        <f>[IRRF '[N']] + [IRRF '[D']]</f>
        <v>0.75</v>
      </c>
      <c r="M5" s="73">
        <f>[IR DEVIDO '[N']] + [IR DEVIDO '[D']]</f>
        <v>32.9</v>
      </c>
      <c r="N5" s="39">
        <f>[LUCRO '[N']] + [LUCRO '[D']] - [IR DEVIDO] - [IRRF '[N']] - [IRRF '[D']]</f>
        <v>1354.3099999999997</v>
      </c>
    </row>
    <row r="6" spans="1:15">
      <c r="A6" s="7" t="s">
        <v>15</v>
      </c>
      <c r="B6" s="74"/>
      <c r="C6" s="74"/>
      <c r="D6" s="74"/>
      <c r="E6" s="74"/>
      <c r="F6" s="74"/>
      <c r="G6" s="74"/>
      <c r="H6" s="74"/>
      <c r="I6" s="74"/>
      <c r="J6" s="74"/>
      <c r="K6" s="74"/>
      <c r="L6" s="84"/>
      <c r="M6" s="74"/>
      <c r="N6" s="23">
        <f>SUBTOTAL(109,[LUCRO TOTAL])</f>
        <v>553.99999999999977</v>
      </c>
    </row>
    <row r="10" spans="1:15">
      <c r="N10" s="80"/>
      <c r="O10" s="80"/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sheetPr codeName="Plan4"/>
  <dimension ref="A1:O7"/>
  <sheetViews>
    <sheetView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D3" sqref="D3"/>
    </sheetView>
  </sheetViews>
  <sheetFormatPr defaultColWidth="11.5703125" defaultRowHeight="11.25"/>
  <cols>
    <col min="1" max="1" width="7.42578125" style="7" bestFit="1" customWidth="1"/>
    <col min="2" max="2" width="11" style="25" bestFit="1" customWidth="1"/>
    <col min="3" max="3" width="12.5703125" style="25" bestFit="1" customWidth="1"/>
    <col min="4" max="4" width="13.42578125" style="25" bestFit="1" customWidth="1"/>
    <col min="5" max="5" width="13.140625" style="7" bestFit="1" customWidth="1"/>
    <col min="6" max="6" width="11" style="7" hidden="1" customWidth="1"/>
    <col min="7" max="7" width="7.7109375" style="7" bestFit="1" customWidth="1"/>
    <col min="8" max="8" width="13.140625" style="25" bestFit="1" customWidth="1"/>
    <col min="9" max="9" width="11.42578125" style="7" bestFit="1" customWidth="1"/>
    <col min="10" max="10" width="13.140625" style="7" bestFit="1" customWidth="1"/>
    <col min="11" max="11" width="10.7109375" style="7" bestFit="1" customWidth="1"/>
    <col min="12" max="16384" width="11.5703125" style="7"/>
  </cols>
  <sheetData>
    <row r="1" spans="1:15">
      <c r="A1" s="24" t="s">
        <v>55</v>
      </c>
      <c r="B1" s="24" t="s">
        <v>62</v>
      </c>
      <c r="C1" s="26" t="s">
        <v>56</v>
      </c>
      <c r="D1" s="26" t="s">
        <v>57</v>
      </c>
      <c r="E1" s="26" t="s">
        <v>58</v>
      </c>
      <c r="F1" s="26" t="s">
        <v>63</v>
      </c>
      <c r="G1" s="26" t="s">
        <v>1</v>
      </c>
      <c r="H1" s="26" t="s">
        <v>60</v>
      </c>
      <c r="I1" s="26" t="s">
        <v>61</v>
      </c>
      <c r="J1" s="26" t="s">
        <v>84</v>
      </c>
      <c r="K1" s="26" t="s">
        <v>132</v>
      </c>
      <c r="M1" s="7">
        <v>2</v>
      </c>
      <c r="N1" s="27">
        <f>0.7%*M1</f>
        <v>1.3999999999999999E-2</v>
      </c>
    </row>
    <row r="2" spans="1:15">
      <c r="A2" s="7" t="s">
        <v>140</v>
      </c>
      <c r="B2" s="25">
        <f>950</f>
        <v>950</v>
      </c>
      <c r="C2" s="25">
        <v>17.16</v>
      </c>
      <c r="D2" s="25">
        <v>0.49</v>
      </c>
      <c r="E2" s="39">
        <v>16.46</v>
      </c>
      <c r="F2" s="28">
        <f>ROUNDDOWN([APLICAÇÃO]/[PREÇO OPÇÃO], 0)</f>
        <v>1938</v>
      </c>
      <c r="G2" s="28">
        <f>[QTDE TMP] - MOD([QTDE TMP], 100)</f>
        <v>1900</v>
      </c>
      <c r="H2" s="25">
        <f>[EXERCÍCIO] + ([PREÇO OPÇÃO] * 2)</f>
        <v>18.14</v>
      </c>
      <c r="I2" s="27">
        <f>[TARGET 100%] / [PREÇO AÇÃO] - 1</f>
        <v>0.10206561360874855</v>
      </c>
      <c r="J2" s="25">
        <f>[PREÇO OPÇÃO] * [QTDE]</f>
        <v>931</v>
      </c>
      <c r="K2" s="25">
        <f>IF([PREÇO AÇÃO] &gt; [EXERCÍCIO], [PREÇO OPÇÃO] -([PREÇO AÇÃO] - [EXERCÍCIO]), [PREÇO OPÇÃO])</f>
        <v>0.49</v>
      </c>
    </row>
    <row r="3" spans="1:15">
      <c r="A3" s="7" t="s">
        <v>179</v>
      </c>
      <c r="B3" s="25">
        <f>950</f>
        <v>950</v>
      </c>
      <c r="C3" s="25">
        <v>16.16</v>
      </c>
      <c r="D3" s="25">
        <v>0.3</v>
      </c>
      <c r="E3" s="39">
        <v>15.8</v>
      </c>
      <c r="F3" s="28">
        <f>ROUNDDOWN([APLICAÇÃO]/[PREÇO OPÇÃO], 0)</f>
        <v>3166</v>
      </c>
      <c r="G3" s="28">
        <f>[QTDE TMP] - MOD([QTDE TMP], 100)</f>
        <v>3100</v>
      </c>
      <c r="H3" s="25">
        <f>[EXERCÍCIO] + ([PREÇO OPÇÃO] * 2)</f>
        <v>16.760000000000002</v>
      </c>
      <c r="I3" s="27">
        <f>[TARGET 100%] / [PREÇO AÇÃO] - 1</f>
        <v>6.0759493670886178E-2</v>
      </c>
      <c r="J3" s="25">
        <f>[PREÇO OPÇÃO] * [QTDE]</f>
        <v>930</v>
      </c>
      <c r="K3" s="25">
        <f>IF([PREÇO AÇÃO] &gt; [EXERCÍCIO], [PREÇO OPÇÃO] -([PREÇO AÇÃO] - [EXERCÍCIO]), [PREÇO OPÇÃO])</f>
        <v>0.3</v>
      </c>
    </row>
    <row r="4" spans="1:15">
      <c r="A4" s="7" t="s">
        <v>179</v>
      </c>
      <c r="B4" s="146">
        <f>950</f>
        <v>950</v>
      </c>
      <c r="C4" s="25">
        <v>30</v>
      </c>
      <c r="D4" s="25">
        <v>0.51</v>
      </c>
      <c r="E4" s="39">
        <v>30.07</v>
      </c>
      <c r="F4" s="147">
        <f>ROUNDDOWN([APLICAÇÃO]/[PREÇO OPÇÃO], 0)</f>
        <v>1862</v>
      </c>
      <c r="G4" s="147">
        <f>[QTDE TMP] - MOD([QTDE TMP], 100)</f>
        <v>1800</v>
      </c>
      <c r="H4" s="146">
        <f>[EXERCÍCIO] + ([PREÇO OPÇÃO] * 2)</f>
        <v>31.02</v>
      </c>
      <c r="I4" s="148">
        <f>[TARGET 100%] / [PREÇO AÇÃO] - 1</f>
        <v>3.1592949783837643E-2</v>
      </c>
      <c r="J4" s="149">
        <f>[PREÇO OPÇÃO] * [QTDE]</f>
        <v>918</v>
      </c>
      <c r="K4" s="149">
        <f>IF([PREÇO AÇÃO] &gt; [EXERCÍCIO], [PREÇO OPÇÃO] -([PREÇO AÇÃO] - [EXERCÍCIO]), [PREÇO OPÇÃO])</f>
        <v>0.43999999999999972</v>
      </c>
      <c r="M4" s="7">
        <v>33.15</v>
      </c>
      <c r="N4" s="152">
        <f>M4*N7/M7</f>
        <v>4.9732104586369479</v>
      </c>
      <c r="O4" s="153">
        <f>N4/5*M1</f>
        <v>1.9892841834547792</v>
      </c>
    </row>
    <row r="5" spans="1:15">
      <c r="A5" s="145" t="s">
        <v>179</v>
      </c>
      <c r="B5" s="146">
        <f>950</f>
        <v>950</v>
      </c>
      <c r="C5" s="146">
        <v>31</v>
      </c>
      <c r="D5" s="146">
        <v>0.47</v>
      </c>
      <c r="E5" s="39">
        <v>30.67</v>
      </c>
      <c r="F5" s="147">
        <f>ROUNDDOWN([APLICAÇÃO]/[PREÇO OPÇÃO], 0)</f>
        <v>2021</v>
      </c>
      <c r="G5" s="147">
        <f>[QTDE TMP] - MOD([QTDE TMP], 100)</f>
        <v>2000</v>
      </c>
      <c r="H5" s="146">
        <f>[EXERCÍCIO] + ([PREÇO OPÇÃO] * 2)</f>
        <v>31.94</v>
      </c>
      <c r="I5" s="148">
        <f>[TARGET 100%] / [PREÇO AÇÃO] - 1</f>
        <v>4.1408542549722815E-2</v>
      </c>
      <c r="J5" s="149">
        <f>[PREÇO OPÇÃO] * [QTDE]</f>
        <v>940</v>
      </c>
      <c r="K5" s="149">
        <f>IF([PREÇO AÇÃO] &gt; [EXERCÍCIO], [PREÇO OPÇÃO] -([PREÇO AÇÃO] - [EXERCÍCIO]), [PREÇO OPÇÃO])</f>
        <v>0.47</v>
      </c>
      <c r="M5" s="7">
        <v>23.84</v>
      </c>
      <c r="N5" s="152">
        <f>M5*N7/M7</f>
        <v>3.5765109301328764</v>
      </c>
      <c r="O5" s="153">
        <f>N5/5*M1</f>
        <v>1.4306043720531505</v>
      </c>
    </row>
    <row r="7" spans="1:15">
      <c r="M7" s="7">
        <v>23.33</v>
      </c>
      <c r="N7" s="7">
        <v>3.5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horizontalDpi="300" verticalDpi="300" r:id="rId1"/>
  <headerFooter alignWithMargins="0">
    <oddHeader>&amp;C&amp;A</oddHeader>
    <oddFooter>&amp;CPágina &amp;P</oddFooter>
  </headerFooter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sheetPr codeName="Plan7"/>
  <dimension ref="A1:P5"/>
  <sheetViews>
    <sheetView workbookViewId="0">
      <pane xSplit="7" ySplit="1" topLeftCell="H3" activePane="bottomRight" state="frozen"/>
      <selection pane="topRight" activeCell="H1" sqref="H1"/>
      <selection pane="bottomLeft" activeCell="A2" sqref="A2"/>
      <selection pane="bottomRight" activeCell="B4" sqref="B4"/>
    </sheetView>
  </sheetViews>
  <sheetFormatPr defaultColWidth="11.5703125" defaultRowHeight="11.25"/>
  <cols>
    <col min="1" max="1" width="7.42578125" style="7" bestFit="1" customWidth="1"/>
    <col min="2" max="2" width="10.7109375" style="25" bestFit="1" customWidth="1"/>
    <col min="3" max="3" width="11.7109375" style="25" bestFit="1" customWidth="1"/>
    <col min="4" max="4" width="13.5703125" style="25" bestFit="1" customWidth="1"/>
    <col min="5" max="5" width="13.42578125" style="7" bestFit="1" customWidth="1"/>
    <col min="6" max="6" width="14.85546875" style="7" bestFit="1" customWidth="1"/>
    <col min="7" max="7" width="14.7109375" style="7" bestFit="1" customWidth="1"/>
    <col min="8" max="8" width="10.7109375" style="7" bestFit="1" customWidth="1"/>
    <col min="9" max="9" width="15.5703125" style="7" hidden="1" customWidth="1"/>
    <col min="10" max="10" width="15.42578125" style="7" hidden="1" customWidth="1"/>
    <col min="11" max="11" width="7.7109375" style="7" hidden="1" customWidth="1"/>
    <col min="12" max="12" width="7.5703125" style="7" bestFit="1" customWidth="1"/>
    <col min="13" max="13" width="10.7109375" style="7" bestFit="1" customWidth="1"/>
    <col min="14" max="14" width="10.42578125" style="7" bestFit="1" customWidth="1"/>
    <col min="15" max="15" width="10.28515625" style="7" bestFit="1" customWidth="1"/>
    <col min="16" max="16" width="9.7109375" style="7" bestFit="1" customWidth="1"/>
    <col min="17" max="16384" width="11.5703125" style="7"/>
  </cols>
  <sheetData>
    <row r="1" spans="1:16">
      <c r="A1" s="24" t="s">
        <v>55</v>
      </c>
      <c r="B1" s="24" t="s">
        <v>104</v>
      </c>
      <c r="C1" s="24" t="s">
        <v>58</v>
      </c>
      <c r="D1" s="26" t="s">
        <v>72</v>
      </c>
      <c r="E1" s="26" t="s">
        <v>73</v>
      </c>
      <c r="F1" s="26" t="s">
        <v>70</v>
      </c>
      <c r="G1" s="26" t="s">
        <v>71</v>
      </c>
      <c r="H1" s="26" t="s">
        <v>112</v>
      </c>
      <c r="I1" s="26" t="s">
        <v>74</v>
      </c>
      <c r="J1" s="26" t="s">
        <v>75</v>
      </c>
      <c r="K1" s="26" t="s">
        <v>63</v>
      </c>
      <c r="L1" s="26" t="s">
        <v>1</v>
      </c>
      <c r="M1" s="26" t="s">
        <v>81</v>
      </c>
      <c r="N1" s="26" t="s">
        <v>82</v>
      </c>
      <c r="O1" s="26" t="s">
        <v>77</v>
      </c>
      <c r="P1" s="26" t="s">
        <v>78</v>
      </c>
    </row>
    <row r="2" spans="1:16">
      <c r="A2" s="7" t="s">
        <v>83</v>
      </c>
      <c r="B2" s="25">
        <v>100</v>
      </c>
      <c r="C2" s="25">
        <v>39.18</v>
      </c>
      <c r="D2" s="25">
        <v>40.090000000000003</v>
      </c>
      <c r="E2" s="25">
        <v>1.93</v>
      </c>
      <c r="F2" s="25">
        <v>42.09</v>
      </c>
      <c r="G2" s="25">
        <v>0.75</v>
      </c>
      <c r="H2" s="25">
        <f>([QTDE] * [PREÇO COMPRA]) + ([QTDE] * [PREÇO VENDA])</f>
        <v>268</v>
      </c>
      <c r="I2" s="25">
        <f>[PREÇO VENDA]-[PREÇO COMPRA]</f>
        <v>1.18</v>
      </c>
      <c r="J2" s="25">
        <f>(0.01 - [PREÇO COMPRA]) + ([PREÇO VENDA] - ([EXERC. COMPRA]-[EXERC. VENDA]+0.01))</f>
        <v>-0.81999999999999984</v>
      </c>
      <c r="K2" s="28">
        <f>ROUNDDOWN([RISCO]/ABS([PERDA P/ OPÇÃO]), 0)</f>
        <v>121</v>
      </c>
      <c r="L2" s="28">
        <f>[QTDE TMP] - MOD([QTDE TMP], 100)</f>
        <v>100</v>
      </c>
      <c r="M2" s="25">
        <f>([QTDE]*[LUCRO P/ OPÇÃO])-32</f>
        <v>86</v>
      </c>
      <c r="N2" s="25">
        <f>[QTDE]*[PERDA P/ OPÇÃO]-32</f>
        <v>-113.99999999999999</v>
      </c>
      <c r="O2" s="27">
        <f>[EXERC. VENDA]/[PREÇO AÇÃO]-1</f>
        <v>2.3226135783563029E-2</v>
      </c>
      <c r="P2" s="38">
        <f>[LUCRO*]/ABS([PERDA*])</f>
        <v>0.75438596491228083</v>
      </c>
    </row>
    <row r="3" spans="1:16">
      <c r="A3" s="7" t="s">
        <v>83</v>
      </c>
      <c r="B3" s="25">
        <v>500</v>
      </c>
      <c r="C3" s="25">
        <v>27.98</v>
      </c>
      <c r="D3" s="25">
        <v>26</v>
      </c>
      <c r="E3" s="25">
        <v>2.16</v>
      </c>
      <c r="F3" s="25">
        <v>27</v>
      </c>
      <c r="G3" s="25">
        <v>1.34</v>
      </c>
      <c r="H3" s="25">
        <f>([QTDE] * [PREÇO COMPRA]) + ([QTDE] * [PREÇO VENDA])</f>
        <v>9450</v>
      </c>
      <c r="I3" s="25">
        <f>[PREÇO VENDA]-[PREÇO COMPRA]</f>
        <v>0.82000000000000006</v>
      </c>
      <c r="J3" s="25">
        <f>(0.01 - [PREÇO COMPRA]) + ([PREÇO VENDA] - ([EXERC. COMPRA]-[EXERC. VENDA]+0.01))</f>
        <v>-0.17999999999999994</v>
      </c>
      <c r="K3" s="28">
        <f>ROUNDDOWN([RISCO]/ABS([PERDA P/ OPÇÃO]), 0)</f>
        <v>2777</v>
      </c>
      <c r="L3" s="28">
        <f>[QTDE TMP] - MOD([QTDE TMP], 100)</f>
        <v>2700</v>
      </c>
      <c r="M3" s="25">
        <f>([QTDE]*[LUCRO P/ OPÇÃO])-32</f>
        <v>2182</v>
      </c>
      <c r="N3" s="25">
        <f>[QTDE]*[PERDA P/ OPÇÃO]-32</f>
        <v>-517.99999999999977</v>
      </c>
      <c r="O3" s="27">
        <f>[EXERC. VENDA]/[PREÇO AÇÃO]-1</f>
        <v>-7.0764832022873536E-2</v>
      </c>
      <c r="P3" s="38">
        <f>[LUCRO*]/ABS([PERDA*])</f>
        <v>4.2123552123552139</v>
      </c>
    </row>
    <row r="4" spans="1:16">
      <c r="A4" s="102" t="s">
        <v>69</v>
      </c>
      <c r="B4" s="25">
        <v>40</v>
      </c>
      <c r="C4" s="25">
        <v>13.68</v>
      </c>
      <c r="D4" s="25">
        <v>12</v>
      </c>
      <c r="E4" s="25">
        <v>1.5</v>
      </c>
      <c r="F4" s="25">
        <v>13</v>
      </c>
      <c r="G4" s="25">
        <v>0.6</v>
      </c>
      <c r="H4" s="81">
        <f>([QTDE] * [PREÇO COMPRA]) + ([QTDE] * [PREÇO VENDA])</f>
        <v>840</v>
      </c>
      <c r="I4" s="81">
        <f>[PREÇO VENDA]-[PREÇO COMPRA]</f>
        <v>0.9</v>
      </c>
      <c r="J4" s="81">
        <f>(0.01 - [PREÇO COMPRA]) + ([PREÇO VENDA] - ([EXERC. COMPRA]-[EXERC. VENDA]+0.01))</f>
        <v>-9.9999999999999978E-2</v>
      </c>
      <c r="K4" s="103">
        <f>ROUNDDOWN([RISCO]/ABS([PERDA P/ OPÇÃO]), 0)</f>
        <v>400</v>
      </c>
      <c r="L4" s="103">
        <f>[QTDE TMP] - MOD([QTDE TMP], 100)</f>
        <v>400</v>
      </c>
      <c r="M4" s="81">
        <f>([QTDE]*[LUCRO P/ OPÇÃO])-32</f>
        <v>328</v>
      </c>
      <c r="N4" s="81">
        <f>[QTDE]*[PERDA P/ OPÇÃO]-32</f>
        <v>-72</v>
      </c>
      <c r="O4" s="82">
        <f>[EXERC. VENDA]/[PREÇO AÇÃO]-1</f>
        <v>-0.12280701754385959</v>
      </c>
      <c r="P4" s="83">
        <f>[LUCRO*]/ABS([PERDA*])</f>
        <v>4.5555555555555554</v>
      </c>
    </row>
    <row r="5" spans="1:16">
      <c r="A5" s="125" t="s">
        <v>15</v>
      </c>
      <c r="B5" s="126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5"/>
      <c r="P5" s="125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>
  <sheetPr codeName="Plan6"/>
  <dimension ref="A1:O3"/>
  <sheetViews>
    <sheetView workbookViewId="0">
      <pane xSplit="7" ySplit="1" topLeftCell="H2" activePane="bottomRight" state="frozen"/>
      <selection pane="topRight" activeCell="H1" sqref="H1"/>
      <selection pane="bottomLeft" activeCell="A2" sqref="A2"/>
      <selection pane="bottomRight" activeCell="F31" sqref="F31"/>
    </sheetView>
  </sheetViews>
  <sheetFormatPr defaultColWidth="11.5703125" defaultRowHeight="11.25"/>
  <cols>
    <col min="1" max="1" width="7.28515625" style="7" bestFit="1" customWidth="1"/>
    <col min="2" max="2" width="9.85546875" style="25" bestFit="1" customWidth="1"/>
    <col min="3" max="3" width="11.7109375" style="25" bestFit="1" customWidth="1"/>
    <col min="4" max="4" width="11" style="25" bestFit="1" customWidth="1"/>
    <col min="5" max="5" width="12.28515625" style="25" bestFit="1" customWidth="1"/>
    <col min="6" max="6" width="10.28515625" style="25" bestFit="1" customWidth="1"/>
    <col min="7" max="7" width="6.7109375" style="60" bestFit="1" customWidth="1"/>
    <col min="8" max="8" width="15.42578125" style="7" bestFit="1" customWidth="1"/>
    <col min="9" max="9" width="10.7109375" style="7" bestFit="1" customWidth="1"/>
    <col min="10" max="11" width="11.140625" style="7" bestFit="1" customWidth="1"/>
    <col min="12" max="12" width="10.7109375" style="7" bestFit="1" customWidth="1"/>
    <col min="13" max="13" width="9.85546875" style="7" bestFit="1" customWidth="1"/>
    <col min="14" max="14" width="10.28515625" style="7" bestFit="1" customWidth="1"/>
    <col min="15" max="15" width="9.7109375" style="7" bestFit="1" customWidth="1"/>
    <col min="16" max="16384" width="11.5703125" style="7"/>
  </cols>
  <sheetData>
    <row r="1" spans="1:15">
      <c r="A1" s="24" t="s">
        <v>55</v>
      </c>
      <c r="B1" s="24" t="s">
        <v>104</v>
      </c>
      <c r="C1" s="24" t="s">
        <v>58</v>
      </c>
      <c r="D1" s="26" t="s">
        <v>107</v>
      </c>
      <c r="E1" s="26" t="s">
        <v>106</v>
      </c>
      <c r="F1" s="26" t="s">
        <v>181</v>
      </c>
      <c r="G1" s="57" t="s">
        <v>1</v>
      </c>
      <c r="H1" s="26" t="s">
        <v>75</v>
      </c>
      <c r="I1" s="26" t="s">
        <v>180</v>
      </c>
      <c r="J1" s="26" t="s">
        <v>109</v>
      </c>
      <c r="K1" s="26" t="s">
        <v>182</v>
      </c>
      <c r="L1" s="26" t="s">
        <v>149</v>
      </c>
      <c r="M1" s="26" t="s">
        <v>100</v>
      </c>
      <c r="N1" s="26" t="s">
        <v>77</v>
      </c>
      <c r="O1" s="26" t="s">
        <v>78</v>
      </c>
    </row>
    <row r="2" spans="1:15">
      <c r="A2" s="50" t="s">
        <v>69</v>
      </c>
      <c r="B2" s="51">
        <v>20</v>
      </c>
      <c r="C2" s="51">
        <v>27.98</v>
      </c>
      <c r="D2" s="51">
        <v>26</v>
      </c>
      <c r="E2" s="51">
        <v>27</v>
      </c>
      <c r="F2" s="51">
        <v>2.16</v>
      </c>
      <c r="G2" s="62">
        <v>200</v>
      </c>
      <c r="H2" s="52">
        <f>([RISCO])/[QTDE]</f>
        <v>0.1</v>
      </c>
      <c r="I2" s="52">
        <f>[PR Venda] * [QTDE]+[QTDE]*[PR Compra]</f>
        <v>684</v>
      </c>
      <c r="J2" s="63">
        <f>[PR Venda]-[PR Compra]</f>
        <v>0.89999999999999991</v>
      </c>
      <c r="K2" s="52">
        <f>(-[PERDA P/ OPÇÃO] + ([EX. COMPRA] - [EX. VENDA] + 0.01) - 0.01 -[PR Venda])*-1</f>
        <v>1.2600000000000002</v>
      </c>
      <c r="L2" s="52">
        <f>([QTDE]*[LUCRO UNI])-64</f>
        <v>115.99999999999997</v>
      </c>
      <c r="M2" s="52">
        <f>-[PERDA P/ OPÇÃO]*[QTDE]-64</f>
        <v>-84</v>
      </c>
      <c r="N2" s="53">
        <f>[EX. VENDA]/[PREÇO AÇÃO]-1</f>
        <v>-7.0764832022873536E-2</v>
      </c>
      <c r="O2" s="54">
        <f>[LUCRO]/ABS([PERDA])</f>
        <v>1.3809523809523807</v>
      </c>
    </row>
    <row r="3" spans="1:15">
      <c r="A3" s="145" t="s">
        <v>83</v>
      </c>
      <c r="B3" s="146">
        <v>185</v>
      </c>
      <c r="C3" s="51">
        <v>27.25</v>
      </c>
      <c r="D3" s="146">
        <v>27.18</v>
      </c>
      <c r="E3" s="146">
        <v>28.18</v>
      </c>
      <c r="F3" s="146">
        <v>1.21</v>
      </c>
      <c r="G3" s="150">
        <v>600</v>
      </c>
      <c r="H3" s="149">
        <f>([RISCO])/[QTDE]</f>
        <v>0.30833333333333335</v>
      </c>
      <c r="I3" s="149">
        <f>[PR Venda] * [QTDE]+[QTDE]*[PR Compra]</f>
        <v>1037</v>
      </c>
      <c r="J3" s="63">
        <f>[PR Venda]-[PR Compra]</f>
        <v>0.69166666666666665</v>
      </c>
      <c r="K3" s="149">
        <f>(-[PERDA P/ OPÇÃO] + ([EX. COMPRA] - [EX. VENDA] + 0.01) - 0.01 -[PR Venda])*-1</f>
        <v>0.51833333333333331</v>
      </c>
      <c r="L3" s="149">
        <f>([QTDE]*[LUCRO UNI])-64</f>
        <v>351</v>
      </c>
      <c r="M3" s="149">
        <f>-[PERDA P/ OPÇÃO]*[QTDE]-64</f>
        <v>-249</v>
      </c>
      <c r="N3" s="148">
        <f>[EX. VENDA]/[PREÇO AÇÃO]-1</f>
        <v>-2.5688073394495303E-3</v>
      </c>
      <c r="O3" s="151">
        <f>[LUCRO]/ABS([PERDA])</f>
        <v>1.4096385542168675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>
  <sheetPr codeName="Plan8"/>
  <dimension ref="A1:U5"/>
  <sheetViews>
    <sheetView workbookViewId="0">
      <pane xSplit="9" ySplit="1" topLeftCell="J2" activePane="bottomRight" state="frozen"/>
      <selection pane="topRight" activeCell="J1" sqref="J1"/>
      <selection pane="bottomLeft" activeCell="A2" sqref="A2"/>
      <selection pane="bottomRight" activeCell="B3" sqref="B3"/>
    </sheetView>
  </sheetViews>
  <sheetFormatPr defaultColWidth="11.5703125" defaultRowHeight="11.25"/>
  <cols>
    <col min="1" max="1" width="7.28515625" style="7" bestFit="1" customWidth="1"/>
    <col min="2" max="2" width="9.85546875" style="25" bestFit="1" customWidth="1"/>
    <col min="3" max="3" width="9.42578125" style="25" bestFit="1" customWidth="1"/>
    <col min="4" max="4" width="8.28515625" style="25" bestFit="1" customWidth="1"/>
    <col min="5" max="5" width="8" style="7" bestFit="1" customWidth="1"/>
    <col min="6" max="6" width="7.7109375" style="7" bestFit="1" customWidth="1"/>
    <col min="7" max="7" width="7.140625" style="7" bestFit="1" customWidth="1"/>
    <col min="8" max="8" width="8.28515625" style="7" bestFit="1" customWidth="1"/>
    <col min="9" max="9" width="8" style="7" bestFit="1" customWidth="1"/>
    <col min="10" max="10" width="10.7109375" style="7" bestFit="1" customWidth="1"/>
    <col min="11" max="12" width="9.7109375" style="7" hidden="1" customWidth="1"/>
    <col min="13" max="13" width="7.5703125" style="7" bestFit="1" customWidth="1"/>
    <col min="14" max="14" width="11" style="7" hidden="1" customWidth="1"/>
    <col min="15" max="15" width="6.7109375" style="7" bestFit="1" customWidth="1"/>
    <col min="16" max="16" width="9" style="7" bestFit="1" customWidth="1"/>
    <col min="17" max="18" width="10.7109375" style="7" bestFit="1" customWidth="1"/>
    <col min="19" max="19" width="9.85546875" style="7" bestFit="1" customWidth="1"/>
    <col min="20" max="20" width="7.42578125" style="7" bestFit="1" customWidth="1"/>
    <col min="21" max="21" width="8.85546875" style="7" bestFit="1" customWidth="1"/>
    <col min="22" max="16384" width="11.5703125" style="7"/>
  </cols>
  <sheetData>
    <row r="1" spans="1:21" s="124" customFormat="1">
      <c r="A1" s="122" t="s">
        <v>55</v>
      </c>
      <c r="B1" s="122" t="s">
        <v>91</v>
      </c>
      <c r="C1" s="122" t="s">
        <v>92</v>
      </c>
      <c r="D1" s="123" t="s">
        <v>93</v>
      </c>
      <c r="E1" s="123" t="s">
        <v>94</v>
      </c>
      <c r="F1" s="123" t="s">
        <v>95</v>
      </c>
      <c r="G1" s="123" t="s">
        <v>96</v>
      </c>
      <c r="H1" s="123" t="s">
        <v>97</v>
      </c>
      <c r="I1" s="123" t="s">
        <v>98</v>
      </c>
      <c r="J1" s="123" t="s">
        <v>87</v>
      </c>
      <c r="K1" s="123" t="s">
        <v>88</v>
      </c>
      <c r="L1" s="123" t="s">
        <v>89</v>
      </c>
      <c r="M1" s="123" t="s">
        <v>100</v>
      </c>
      <c r="N1" s="123" t="s">
        <v>63</v>
      </c>
      <c r="O1" s="123" t="s">
        <v>1</v>
      </c>
      <c r="P1" s="123" t="s">
        <v>99</v>
      </c>
      <c r="Q1" s="123" t="s">
        <v>112</v>
      </c>
      <c r="R1" s="123" t="s">
        <v>149</v>
      </c>
      <c r="S1" s="123" t="s">
        <v>150</v>
      </c>
      <c r="T1" s="123" t="s">
        <v>86</v>
      </c>
      <c r="U1" s="123" t="s">
        <v>78</v>
      </c>
    </row>
    <row r="2" spans="1:21">
      <c r="A2" s="7" t="s">
        <v>83</v>
      </c>
      <c r="B2" s="25">
        <v>5000</v>
      </c>
      <c r="C2" s="25">
        <v>13.59</v>
      </c>
      <c r="D2" s="25">
        <v>12</v>
      </c>
      <c r="E2" s="25">
        <v>1.66</v>
      </c>
      <c r="F2" s="25">
        <v>13</v>
      </c>
      <c r="G2" s="25">
        <v>0.79</v>
      </c>
      <c r="H2" s="25">
        <v>14</v>
      </c>
      <c r="I2" s="25">
        <v>0.22</v>
      </c>
      <c r="J2" s="25">
        <f>(([PR VD] - 0.01) * 2) + (([EX. VD] - [EX. CP 1] + 0.01) - [PR CP 1]) + (0.01 - [PR CP 2])</f>
        <v>0.70000000000000018</v>
      </c>
      <c r="K2" s="25">
        <f>(0.01 - [PR CP 1]) + (([PR VD] - 0.01) * 2) + (0.01 - [PR CP 2])</f>
        <v>-0.29999999999999982</v>
      </c>
      <c r="L2" s="25">
        <f>(([EX. CP 2] - [EX. CP 1] + 0.01) - [PR CP 1]) + (([PR VD] - ([EX. CP 2] - [EX. VD] + 0.01)) * 2) + (0.01 - [PR CP 2])</f>
        <v>-0.30000000000000004</v>
      </c>
      <c r="M2" s="25">
        <f>IF([PERDA 1] &gt; [PERDA 2], [PERDA 2], [PERDA 1])</f>
        <v>-0.29999999999999982</v>
      </c>
      <c r="N2" s="28">
        <f>ROUNDDOWN([BASE]/ABS([PERDA]), 0)</f>
        <v>16666</v>
      </c>
      <c r="O2" s="28">
        <f>[QTDE TMP] - MOD([QTDE TMP], 100)</f>
        <v>16600</v>
      </c>
      <c r="P2" s="28">
        <f>Tabela245[[#This Row],[QTDE]]*2</f>
        <v>33200</v>
      </c>
      <c r="Q2" s="25">
        <f>([QTDE]*[PR CP 1] + [QTDE]*[PR CP 2])+[QTDE]*[PR VD] * 2</f>
        <v>57436</v>
      </c>
      <c r="R2" s="39">
        <f>([QTDE]*[LUCRO UNI.])-48</f>
        <v>11572.000000000004</v>
      </c>
      <c r="S2" s="25">
        <f>[QTDE]*[PERDA]-48</f>
        <v>-5027.9999999999973</v>
      </c>
      <c r="T2" s="27">
        <f>[EX. VD] / [PR. AÇÃO] - 1</f>
        <v>-4.3414275202354635E-2</v>
      </c>
      <c r="U2" s="38">
        <f>[LUCRO]/ABS([PERDA2])</f>
        <v>2.3015115354017524</v>
      </c>
    </row>
    <row r="3" spans="1:21">
      <c r="A3" s="40" t="s">
        <v>15</v>
      </c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0"/>
      <c r="U3" s="40"/>
    </row>
    <row r="4" spans="1:21">
      <c r="E4" s="23"/>
    </row>
    <row r="5" spans="1:21">
      <c r="E5" s="23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>
  <sheetPr codeName="Plan9"/>
  <dimension ref="A1:O6"/>
  <sheetViews>
    <sheetView workbookViewId="0">
      <selection activeCell="H5" sqref="H5"/>
    </sheetView>
  </sheetViews>
  <sheetFormatPr defaultColWidth="11.5703125" defaultRowHeight="11.25"/>
  <cols>
    <col min="1" max="1" width="7.28515625" style="7" bestFit="1" customWidth="1"/>
    <col min="2" max="2" width="9.85546875" style="25" bestFit="1" customWidth="1"/>
    <col min="3" max="3" width="11.7109375" style="25" bestFit="1" customWidth="1"/>
    <col min="4" max="4" width="11" style="25" bestFit="1" customWidth="1"/>
    <col min="5" max="5" width="12.28515625" style="7" bestFit="1" customWidth="1"/>
    <col min="6" max="6" width="10.7109375" style="7" bestFit="1" customWidth="1"/>
    <col min="7" max="7" width="12" style="60" bestFit="1" customWidth="1"/>
    <col min="8" max="8" width="6.7109375" style="7" bestFit="1" customWidth="1"/>
    <col min="9" max="9" width="15.42578125" style="7" bestFit="1" customWidth="1"/>
    <col min="10" max="10" width="9.85546875" style="7" bestFit="1" customWidth="1"/>
    <col min="11" max="12" width="11.5703125" style="7"/>
    <col min="13" max="13" width="10.28515625" style="7" bestFit="1" customWidth="1"/>
    <col min="14" max="14" width="9.7109375" style="7" bestFit="1" customWidth="1"/>
    <col min="15" max="16384" width="11.5703125" style="7"/>
  </cols>
  <sheetData>
    <row r="1" spans="1:15">
      <c r="A1" s="24" t="s">
        <v>55</v>
      </c>
      <c r="B1" s="24" t="s">
        <v>104</v>
      </c>
      <c r="C1" s="24" t="s">
        <v>58</v>
      </c>
      <c r="D1" s="26" t="s">
        <v>107</v>
      </c>
      <c r="E1" s="26" t="s">
        <v>106</v>
      </c>
      <c r="F1" s="26" t="s">
        <v>108</v>
      </c>
      <c r="G1" s="26" t="s">
        <v>105</v>
      </c>
      <c r="H1" s="57" t="s">
        <v>1</v>
      </c>
      <c r="I1" s="26" t="s">
        <v>75</v>
      </c>
      <c r="J1" s="26" t="s">
        <v>112</v>
      </c>
      <c r="K1" s="26" t="s">
        <v>109</v>
      </c>
      <c r="L1" s="26" t="s">
        <v>81</v>
      </c>
      <c r="M1" s="26" t="s">
        <v>82</v>
      </c>
      <c r="N1" s="26" t="s">
        <v>77</v>
      </c>
      <c r="O1" s="26" t="s">
        <v>78</v>
      </c>
    </row>
    <row r="2" spans="1:15">
      <c r="A2" s="7" t="s">
        <v>83</v>
      </c>
      <c r="B2" s="25">
        <v>300</v>
      </c>
      <c r="C2" s="25">
        <v>19.5</v>
      </c>
      <c r="D2" s="25">
        <v>37.090000000000003</v>
      </c>
      <c r="E2" s="25">
        <v>38.090000000000003</v>
      </c>
      <c r="F2" s="25">
        <v>1</v>
      </c>
      <c r="G2" s="25">
        <v>0.5</v>
      </c>
      <c r="H2" s="58">
        <v>800</v>
      </c>
      <c r="I2" s="25">
        <f>([PR VENDA] - ([EX. COMPRA] - [EX. VENDA] + 0.01)) + (0.01 - ([PR COMPRA]))</f>
        <v>-0.5</v>
      </c>
      <c r="J2" s="25">
        <f>[PR COMPRA] * [QTDE]</f>
        <v>400</v>
      </c>
      <c r="K2" s="25">
        <f>[PR VENDA]-[PR COMPRA]</f>
        <v>0.5</v>
      </c>
      <c r="L2" s="25">
        <f>([QTDE]*[LUCRO UNI])</f>
        <v>400</v>
      </c>
      <c r="M2" s="25">
        <f>[PERDA P/ OPÇÃO]*[QTDE]</f>
        <v>-400</v>
      </c>
      <c r="N2" s="27">
        <f>[EX. VENDA]/[PREÇO AÇÃO]-1</f>
        <v>0.90205128205128227</v>
      </c>
      <c r="O2" s="38">
        <f>[LUCRO*]/ABS([PERDA*])</f>
        <v>1</v>
      </c>
    </row>
    <row r="3" spans="1:15">
      <c r="A3" s="50" t="s">
        <v>69</v>
      </c>
      <c r="B3" s="51">
        <v>300</v>
      </c>
      <c r="C3" s="51">
        <v>20.25</v>
      </c>
      <c r="D3" s="51">
        <v>19.829999999999998</v>
      </c>
      <c r="E3" s="51">
        <v>20.71</v>
      </c>
      <c r="F3" s="51">
        <v>0.95</v>
      </c>
      <c r="G3" s="51">
        <v>0.4</v>
      </c>
      <c r="H3" s="62">
        <v>1000</v>
      </c>
      <c r="I3" s="52">
        <f>([PR VENDA] - ([EX. COMPRA] - [EX. VENDA] + 0.01)) + (0.01 - ([PR COMPRA]))</f>
        <v>-0.33000000000000262</v>
      </c>
      <c r="J3" s="52">
        <f>[PR COMPRA] * [QTDE]</f>
        <v>400</v>
      </c>
      <c r="K3" s="63">
        <f>[PR VENDA]-[PR COMPRA]</f>
        <v>0.54999999999999993</v>
      </c>
      <c r="L3" s="52">
        <f>([QTDE]*[LUCRO UNI])</f>
        <v>549.99999999999989</v>
      </c>
      <c r="M3" s="52">
        <f>[PERDA P/ OPÇÃO]*[QTDE]</f>
        <v>-330.00000000000261</v>
      </c>
      <c r="N3" s="53">
        <f>[EX. VENDA]/[PREÇO AÇÃO]-1</f>
        <v>-2.0740740740740837E-2</v>
      </c>
      <c r="O3" s="54">
        <f>[LUCRO*]/ABS([PERDA*])</f>
        <v>1.6666666666666532</v>
      </c>
    </row>
    <row r="4" spans="1:15">
      <c r="A4" s="50" t="s">
        <v>69</v>
      </c>
      <c r="B4" s="51">
        <v>300</v>
      </c>
      <c r="C4" s="51">
        <v>20.25</v>
      </c>
      <c r="D4" s="51">
        <v>18.829999999999998</v>
      </c>
      <c r="E4" s="51">
        <v>20.71</v>
      </c>
      <c r="F4" s="51">
        <v>1.66</v>
      </c>
      <c r="G4" s="51">
        <v>0.4</v>
      </c>
      <c r="H4" s="62">
        <v>500</v>
      </c>
      <c r="I4" s="52">
        <f>([PR VENDA] - ([EX. COMPRA] - [EX. VENDA] + 0.01)) + (0.01 - ([PR COMPRA]))</f>
        <v>-0.62000000000000266</v>
      </c>
      <c r="J4" s="52">
        <f>[PR COMPRA] * [QTDE]</f>
        <v>200</v>
      </c>
      <c r="K4" s="63">
        <f>[PR VENDA]-[PR COMPRA]</f>
        <v>1.2599999999999998</v>
      </c>
      <c r="L4" s="52">
        <f>([QTDE]*[LUCRO UNI])</f>
        <v>629.99999999999989</v>
      </c>
      <c r="M4" s="52">
        <f>[PERDA P/ OPÇÃO]*[QTDE]</f>
        <v>-310.00000000000131</v>
      </c>
      <c r="N4" s="53">
        <f>[EX. VENDA]/[PREÇO AÇÃO]-1</f>
        <v>-7.0123456790123551E-2</v>
      </c>
      <c r="O4" s="54">
        <f>[LUCRO*]/ABS([PERDA*])</f>
        <v>2.0322580645161201</v>
      </c>
    </row>
    <row r="5" spans="1:15">
      <c r="A5" s="50" t="s">
        <v>69</v>
      </c>
      <c r="B5" s="51">
        <v>300</v>
      </c>
      <c r="C5" s="51">
        <v>19.37</v>
      </c>
      <c r="D5" s="51">
        <v>17.829999999999998</v>
      </c>
      <c r="E5" s="51">
        <v>18.829999999999998</v>
      </c>
      <c r="F5" s="51">
        <v>1.96</v>
      </c>
      <c r="G5" s="51">
        <v>1.24</v>
      </c>
      <c r="H5" s="62">
        <v>1000</v>
      </c>
      <c r="I5" s="52">
        <f>([PR VENDA] - ([EX. COMPRA] - [EX. VENDA] + 0.01)) + (0.01 - ([PR COMPRA]))</f>
        <v>-0.28000000000000003</v>
      </c>
      <c r="J5" s="52">
        <f>[PR COMPRA] * [QTDE]</f>
        <v>1240</v>
      </c>
      <c r="K5" s="63">
        <f>[PR VENDA]-[PR COMPRA]</f>
        <v>0.72</v>
      </c>
      <c r="L5" s="52">
        <f>([QTDE]*[LUCRO UNI])</f>
        <v>720</v>
      </c>
      <c r="M5" s="52">
        <f>[PERDA P/ OPÇÃO]*[QTDE]</f>
        <v>-280</v>
      </c>
      <c r="N5" s="53">
        <f>[EX. VENDA]/[PREÇO AÇÃO]-1</f>
        <v>-7.9504388229220568E-2</v>
      </c>
      <c r="O5" s="54">
        <f>[LUCRO*]/ABS([PERDA*])</f>
        <v>2.5714285714285716</v>
      </c>
    </row>
    <row r="6" spans="1:15">
      <c r="A6" s="40" t="s">
        <v>15</v>
      </c>
      <c r="B6" s="41"/>
      <c r="C6" s="41"/>
      <c r="D6" s="41"/>
      <c r="E6" s="41"/>
      <c r="F6" s="41"/>
      <c r="G6" s="41"/>
      <c r="H6" s="59"/>
      <c r="I6" s="41"/>
      <c r="J6" s="61"/>
      <c r="K6" s="41"/>
      <c r="L6" s="41"/>
      <c r="M6" s="41"/>
      <c r="N6" s="40"/>
      <c r="O6" s="40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>
  <sheetPr codeName="Plan3"/>
  <dimension ref="A1:M7"/>
  <sheetViews>
    <sheetView workbookViewId="0">
      <selection activeCell="M8" sqref="M8"/>
    </sheetView>
  </sheetViews>
  <sheetFormatPr defaultColWidth="11.5703125" defaultRowHeight="11.25"/>
  <cols>
    <col min="1" max="2" width="7.140625" style="1" bestFit="1" customWidth="1"/>
    <col min="3" max="3" width="8.5703125" style="1" bestFit="1" customWidth="1"/>
    <col min="4" max="4" width="7.140625" style="1" bestFit="1" customWidth="1"/>
    <col min="5" max="5" width="11.7109375" style="1" bestFit="1" customWidth="1"/>
    <col min="6" max="6" width="8.5703125" style="1" bestFit="1" customWidth="1"/>
    <col min="7" max="7" width="7.28515625" style="1" bestFit="1" customWidth="1"/>
    <col min="8" max="8" width="6.28515625" style="1" bestFit="1" customWidth="1"/>
    <col min="9" max="9" width="11.42578125" style="1" bestFit="1" customWidth="1"/>
    <col min="10" max="16384" width="11.5703125" style="1"/>
  </cols>
  <sheetData>
    <row r="1" spans="1:13">
      <c r="A1" s="182" t="s">
        <v>7</v>
      </c>
      <c r="B1" s="182"/>
      <c r="C1" s="182" t="s">
        <v>8</v>
      </c>
      <c r="D1" s="182"/>
      <c r="E1" s="181" t="s">
        <v>9</v>
      </c>
      <c r="F1" s="181" t="s">
        <v>4</v>
      </c>
      <c r="G1" s="181" t="s">
        <v>10</v>
      </c>
      <c r="H1" s="181" t="s">
        <v>11</v>
      </c>
      <c r="I1" s="181" t="s">
        <v>23</v>
      </c>
      <c r="K1" s="180" t="s">
        <v>147</v>
      </c>
      <c r="L1" s="180"/>
      <c r="M1" s="180"/>
    </row>
    <row r="2" spans="1:13">
      <c r="A2" s="3" t="s">
        <v>12</v>
      </c>
      <c r="B2" s="3" t="s">
        <v>13</v>
      </c>
      <c r="C2" s="3" t="s">
        <v>12</v>
      </c>
      <c r="D2" s="3" t="s">
        <v>13</v>
      </c>
      <c r="E2" s="181"/>
      <c r="F2" s="181"/>
      <c r="G2" s="181"/>
      <c r="H2" s="181"/>
      <c r="I2" s="181"/>
      <c r="K2" s="18" t="s">
        <v>144</v>
      </c>
      <c r="L2" s="18" t="s">
        <v>145</v>
      </c>
      <c r="M2" s="18" t="s">
        <v>146</v>
      </c>
    </row>
    <row r="3" spans="1:13">
      <c r="A3" s="4">
        <v>7.0000000000000007E-5</v>
      </c>
      <c r="B3" s="5">
        <v>2.7499999999999996E-4</v>
      </c>
      <c r="C3" s="4">
        <v>7.0000000000000007E-5</v>
      </c>
      <c r="D3" s="5">
        <v>1.8000000000000001E-4</v>
      </c>
      <c r="E3" s="2">
        <v>14.9</v>
      </c>
      <c r="F3" s="6">
        <v>0.02</v>
      </c>
      <c r="G3" s="6">
        <v>3.9E-2</v>
      </c>
      <c r="H3" s="4">
        <v>5.0000000000000002E-5</v>
      </c>
      <c r="I3" s="17">
        <v>6765.77</v>
      </c>
      <c r="K3" s="17">
        <v>135.07</v>
      </c>
      <c r="L3" s="17">
        <v>2.7</v>
      </c>
      <c r="M3" s="104">
        <v>0</v>
      </c>
    </row>
    <row r="4" spans="1:13">
      <c r="A4" s="180" t="s">
        <v>26</v>
      </c>
      <c r="B4" s="180"/>
      <c r="C4" s="180"/>
      <c r="D4" s="180"/>
      <c r="E4" s="180"/>
      <c r="F4" s="180"/>
      <c r="K4" s="17">
        <v>498.62</v>
      </c>
      <c r="L4" s="17">
        <v>0</v>
      </c>
      <c r="M4" s="104">
        <v>0.02</v>
      </c>
    </row>
    <row r="5" spans="1:13">
      <c r="A5" s="180" t="s">
        <v>7</v>
      </c>
      <c r="B5" s="180"/>
      <c r="C5" s="180"/>
      <c r="D5" s="180" t="s">
        <v>8</v>
      </c>
      <c r="E5" s="180"/>
      <c r="F5" s="180"/>
      <c r="K5" s="17">
        <v>1514.69</v>
      </c>
      <c r="L5" s="17">
        <v>2.4900000000000002</v>
      </c>
      <c r="M5" s="104">
        <v>1.4999999999999999E-2</v>
      </c>
    </row>
    <row r="6" spans="1:13">
      <c r="A6" s="18" t="s">
        <v>12</v>
      </c>
      <c r="B6" s="18" t="s">
        <v>13</v>
      </c>
      <c r="C6" s="18" t="s">
        <v>27</v>
      </c>
      <c r="D6" s="18" t="s">
        <v>12</v>
      </c>
      <c r="E6" s="18" t="s">
        <v>13</v>
      </c>
      <c r="F6" s="18" t="s">
        <v>27</v>
      </c>
      <c r="K6" s="17">
        <v>3029.38</v>
      </c>
      <c r="L6" s="17">
        <v>10.06</v>
      </c>
      <c r="M6" s="104">
        <v>0.01</v>
      </c>
    </row>
    <row r="7" spans="1:13">
      <c r="A7" s="5">
        <v>3.6999999999999999E-4</v>
      </c>
      <c r="B7" s="5">
        <v>2.7499999999999996E-4</v>
      </c>
      <c r="C7" s="5">
        <v>6.9499999999999998E-4</v>
      </c>
      <c r="D7" s="5">
        <v>1.2E-4</v>
      </c>
      <c r="E7" s="5">
        <v>1.8000000000000001E-4</v>
      </c>
      <c r="F7" s="5">
        <v>1.4999999999999999E-4</v>
      </c>
      <c r="G7" s="5"/>
      <c r="K7" s="17"/>
      <c r="L7" s="17">
        <v>25.21</v>
      </c>
      <c r="M7" s="104">
        <v>5.0000000000000001E-3</v>
      </c>
    </row>
  </sheetData>
  <sheetProtection selectLockedCells="1" selectUnlockedCells="1"/>
  <mergeCells count="11">
    <mergeCell ref="K1:M1"/>
    <mergeCell ref="A5:C5"/>
    <mergeCell ref="D5:F5"/>
    <mergeCell ref="A4:F4"/>
    <mergeCell ref="I1:I2"/>
    <mergeCell ref="H1:H2"/>
    <mergeCell ref="A1:B1"/>
    <mergeCell ref="C1:D1"/>
    <mergeCell ref="E1:E2"/>
    <mergeCell ref="F1:F2"/>
    <mergeCell ref="G1:G2"/>
  </mergeCells>
  <pageMargins left="0.78749999999999998" right="0.78749999999999998" top="1.0249999999999999" bottom="1.0249999999999999" header="0.78749999999999998" footer="0.78749999999999998"/>
  <pageSetup paperSize="9" orientation="portrait" horizontalDpi="300" verticalDpi="300" r:id="rId1"/>
  <headerFooter alignWithMargins="0"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12</vt:i4>
      </vt:variant>
    </vt:vector>
  </HeadingPairs>
  <TitlesOfParts>
    <vt:vector size="12" baseType="lpstr">
      <vt:lpstr>NOTAS</vt:lpstr>
      <vt:lpstr>NOTAS 80%</vt:lpstr>
      <vt:lpstr>IR</vt:lpstr>
      <vt:lpstr>VOLAT-TENDENCIA</vt:lpstr>
      <vt:lpstr>TRAVA BAIXA</vt:lpstr>
      <vt:lpstr>TRAVA BAIXA NEW</vt:lpstr>
      <vt:lpstr>BORBOLETA</vt:lpstr>
      <vt:lpstr>Plan1</vt:lpstr>
      <vt:lpstr>SETUP</vt:lpstr>
      <vt:lpstr>Plan2</vt:lpstr>
      <vt:lpstr>Plan4</vt:lpstr>
      <vt:lpstr>Plan6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</dc:creator>
  <cp:lastModifiedBy>Engelbert</cp:lastModifiedBy>
  <dcterms:created xsi:type="dcterms:W3CDTF">2012-03-04T21:31:14Z</dcterms:created>
  <dcterms:modified xsi:type="dcterms:W3CDTF">2014-04-28T19:03:07Z</dcterms:modified>
</cp:coreProperties>
</file>