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8960" windowHeight="8520"/>
  </bookViews>
  <sheets>
    <sheet name="WTSa" sheetId="1" r:id="rId1"/>
    <sheet name="WTS" sheetId="3" r:id="rId2"/>
    <sheet name="SETUP" sheetId="2" r:id="rId3"/>
    <sheet name="SOMBRA" sheetId="4" r:id="rId4"/>
  </sheets>
  <calcPr calcId="145621"/>
</workbook>
</file>

<file path=xl/calcChain.xml><?xml version="1.0" encoding="utf-8"?>
<calcChain xmlns="http://schemas.openxmlformats.org/spreadsheetml/2006/main">
  <c r="U7" i="1" l="1"/>
  <c r="M7" i="1"/>
  <c r="N7" i="1" s="1"/>
  <c r="O7" i="1"/>
  <c r="Q7" i="1" s="1"/>
  <c r="R7" i="1" s="1"/>
  <c r="P7" i="1"/>
  <c r="M6" i="1"/>
  <c r="N6" i="1" s="1"/>
  <c r="O6" i="1"/>
  <c r="Q6" i="1" s="1"/>
  <c r="P6" i="1"/>
  <c r="E6" i="4"/>
  <c r="F6" i="4"/>
  <c r="I6" i="4" s="1"/>
  <c r="G6" i="4"/>
  <c r="J6" i="4" s="1"/>
  <c r="H6" i="4"/>
  <c r="K6" i="4"/>
  <c r="L6" i="4"/>
  <c r="S7" i="1" l="1"/>
  <c r="AI7" i="1" s="1"/>
  <c r="T7" i="1"/>
  <c r="X7" i="1"/>
  <c r="Y7" i="1" s="1"/>
  <c r="R6" i="1"/>
  <c r="T6" i="1" s="1"/>
  <c r="M6" i="4" a="1"/>
  <c r="M6" i="4" s="1"/>
  <c r="N6" i="4" s="1"/>
  <c r="E5" i="4"/>
  <c r="F5" i="4" s="1"/>
  <c r="I5" i="4" s="1"/>
  <c r="L5" i="4"/>
  <c r="E4" i="4"/>
  <c r="F4" i="4" s="1"/>
  <c r="I4" i="4" s="1"/>
  <c r="L4" i="4"/>
  <c r="L5" i="1"/>
  <c r="M5" i="1"/>
  <c r="N5" i="1" s="1"/>
  <c r="O5" i="1"/>
  <c r="Q5" i="1" s="1"/>
  <c r="P5" i="1"/>
  <c r="L4" i="1"/>
  <c r="M4" i="1"/>
  <c r="N4" i="1" s="1"/>
  <c r="O4" i="1"/>
  <c r="Q4" i="1" s="1"/>
  <c r="P4" i="1"/>
  <c r="E3" i="4"/>
  <c r="H3" i="4" s="1"/>
  <c r="K3" i="4" s="1"/>
  <c r="L3" i="4"/>
  <c r="L2" i="4"/>
  <c r="E2" i="4"/>
  <c r="F2" i="4" s="1"/>
  <c r="I2" i="4" s="1"/>
  <c r="L3" i="1"/>
  <c r="M3" i="1"/>
  <c r="N3" i="1" s="1"/>
  <c r="O3" i="1"/>
  <c r="Q3" i="1" s="1"/>
  <c r="P3" i="1"/>
  <c r="V7" i="1" l="1"/>
  <c r="W7" i="1" s="1"/>
  <c r="Z7" i="1" s="1"/>
  <c r="AC7" i="1" s="1"/>
  <c r="AD7" i="1" s="1"/>
  <c r="AF7" i="1" s="1"/>
  <c r="S6" i="1"/>
  <c r="X6" i="1"/>
  <c r="Y6" i="1" s="1"/>
  <c r="G3" i="4"/>
  <c r="J3" i="4" s="1"/>
  <c r="F3" i="4"/>
  <c r="I3" i="4" s="1"/>
  <c r="H5" i="4"/>
  <c r="K5" i="4" s="1"/>
  <c r="G5" i="4"/>
  <c r="J5" i="4" s="1"/>
  <c r="M5" i="4" s="1" a="1"/>
  <c r="M5" i="4" s="1"/>
  <c r="N5" i="4" s="1"/>
  <c r="R3" i="1"/>
  <c r="H4" i="4"/>
  <c r="K4" i="4" s="1"/>
  <c r="G4" i="4"/>
  <c r="J4" i="4" s="1"/>
  <c r="R5" i="1"/>
  <c r="R4" i="1"/>
  <c r="M3" i="4" a="1"/>
  <c r="M3" i="4" s="1"/>
  <c r="H2" i="4"/>
  <c r="K2" i="4" s="1"/>
  <c r="G2" i="4"/>
  <c r="J2" i="4" s="1"/>
  <c r="T3" i="1"/>
  <c r="R2" i="3"/>
  <c r="R3" i="3"/>
  <c r="P2" i="3"/>
  <c r="P3" i="3"/>
  <c r="O2" i="3"/>
  <c r="O3" i="3"/>
  <c r="N3" i="3"/>
  <c r="M3" i="3"/>
  <c r="K3" i="3"/>
  <c r="L3" i="3" s="1"/>
  <c r="S3" i="3" s="1"/>
  <c r="J3" i="3"/>
  <c r="N2" i="3"/>
  <c r="M2" i="3"/>
  <c r="K2" i="3"/>
  <c r="L2" i="3" s="1"/>
  <c r="S2" i="3" s="1"/>
  <c r="J2" i="3"/>
  <c r="C3" i="2"/>
  <c r="C4" i="2"/>
  <c r="C5" i="2"/>
  <c r="C6" i="2"/>
  <c r="C7" i="2"/>
  <c r="C2" i="2"/>
  <c r="L2" i="1"/>
  <c r="M2" i="1"/>
  <c r="N2" i="1" s="1"/>
  <c r="P2" i="1"/>
  <c r="O2" i="1"/>
  <c r="Q2" i="1" s="1"/>
  <c r="U6" i="1" l="1"/>
  <c r="AI6" i="1" s="1"/>
  <c r="AA7" i="1"/>
  <c r="AB7" i="1"/>
  <c r="AE7" i="1"/>
  <c r="AG7" i="1" s="1"/>
  <c r="X3" i="1"/>
  <c r="Y3" i="1" s="1"/>
  <c r="R2" i="1"/>
  <c r="T2" i="1" s="1"/>
  <c r="S3" i="1"/>
  <c r="T4" i="1"/>
  <c r="X4" i="1"/>
  <c r="Y4" i="1" s="1"/>
  <c r="T5" i="1"/>
  <c r="X5" i="1"/>
  <c r="Y5" i="1" s="1"/>
  <c r="V6" i="1"/>
  <c r="W6" i="1" s="1"/>
  <c r="Z6" i="1" s="1"/>
  <c r="M4" i="4" a="1"/>
  <c r="M4" i="4" s="1"/>
  <c r="N4" i="4" s="1"/>
  <c r="S5" i="1"/>
  <c r="S4" i="1"/>
  <c r="N3" i="4"/>
  <c r="M2" i="4" a="1"/>
  <c r="M2" i="4" s="1"/>
  <c r="N2" i="4" s="1"/>
  <c r="AC3" i="3"/>
  <c r="Q3" i="3"/>
  <c r="Q2" i="3"/>
  <c r="S2" i="1"/>
  <c r="U2" i="1" s="1"/>
  <c r="U5" i="1" l="1"/>
  <c r="AI5" i="1" s="1"/>
  <c r="U4" i="1"/>
  <c r="AI4" i="1" s="1"/>
  <c r="U3" i="1"/>
  <c r="AI3" i="1" s="1"/>
  <c r="AH7" i="1"/>
  <c r="X2" i="1"/>
  <c r="Y2" i="1" s="1"/>
  <c r="V3" i="1"/>
  <c r="W3" i="1" s="1"/>
  <c r="Z3" i="1" s="1"/>
  <c r="AB3" i="1" s="1"/>
  <c r="AC6" i="1"/>
  <c r="AD6" i="1" s="1"/>
  <c r="AE6" i="1" s="1"/>
  <c r="AA6" i="1"/>
  <c r="AB6" i="1"/>
  <c r="V5" i="1"/>
  <c r="W5" i="1" s="1"/>
  <c r="Z5" i="1" s="1"/>
  <c r="AB5" i="1" s="1"/>
  <c r="V4" i="1"/>
  <c r="W4" i="1" s="1"/>
  <c r="AI2" i="1"/>
  <c r="T3" i="3"/>
  <c r="V3" i="3" s="1"/>
  <c r="AC2" i="3"/>
  <c r="T2" i="3"/>
  <c r="V2" i="3" s="1"/>
  <c r="V2" i="1"/>
  <c r="W2" i="1" s="1"/>
  <c r="Z2" i="1" l="1"/>
  <c r="AB2" i="1" s="1"/>
  <c r="Z4" i="1"/>
  <c r="AA5" i="1"/>
  <c r="AC5" i="1"/>
  <c r="AD5" i="1" s="1"/>
  <c r="AE5" i="1" s="1"/>
  <c r="AC3" i="1"/>
  <c r="AD3" i="1" s="1"/>
  <c r="AE3" i="1" s="1"/>
  <c r="AA3" i="1"/>
  <c r="AA2" i="1"/>
  <c r="AF6" i="1"/>
  <c r="AG6" i="1" s="1"/>
  <c r="AH6" i="1" s="1"/>
  <c r="W3" i="3"/>
  <c r="X3" i="3" s="1"/>
  <c r="Y3" i="3" s="1"/>
  <c r="U3" i="3"/>
  <c r="U2" i="3"/>
  <c r="W2" i="3"/>
  <c r="X2" i="3" s="1"/>
  <c r="Y2" i="3" s="1"/>
  <c r="AC2" i="1" l="1"/>
  <c r="AD2" i="1" s="1"/>
  <c r="AE2" i="1" s="1"/>
  <c r="AF3" i="1"/>
  <c r="AG3" i="1" s="1"/>
  <c r="AH3" i="1" s="1"/>
  <c r="AF5" i="1"/>
  <c r="AG5" i="1" s="1"/>
  <c r="AH5" i="1" s="1"/>
  <c r="AC4" i="1"/>
  <c r="AD4" i="1" s="1"/>
  <c r="AE4" i="1" s="1"/>
  <c r="AA4" i="1"/>
  <c r="AB4" i="1"/>
  <c r="Z2" i="3"/>
  <c r="AA2" i="3" s="1"/>
  <c r="AB2" i="3" s="1"/>
  <c r="Z3" i="3"/>
  <c r="AA3" i="3" s="1"/>
  <c r="AB3" i="3" s="1"/>
  <c r="AF2" i="1" l="1"/>
  <c r="AF4" i="1"/>
  <c r="AG4" i="1" s="1"/>
  <c r="AH4" i="1" s="1"/>
  <c r="AG2" i="1"/>
  <c r="AH2" i="1" s="1"/>
</calcChain>
</file>

<file path=xl/comments1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% DE ENTRADA:
33%
50%
60%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sharedStrings.xml><?xml version="1.0" encoding="utf-8"?>
<sst xmlns="http://schemas.openxmlformats.org/spreadsheetml/2006/main" count="93" uniqueCount="56">
  <si>
    <t>INICIO</t>
  </si>
  <si>
    <t>FIM</t>
  </si>
  <si>
    <t>PERNA</t>
  </si>
  <si>
    <t>% PERNA</t>
  </si>
  <si>
    <t>BASE RV</t>
  </si>
  <si>
    <t>RISCO</t>
  </si>
  <si>
    <t>% RISCO</t>
  </si>
  <si>
    <t>% START</t>
  </si>
  <si>
    <t>% STOP</t>
  </si>
  <si>
    <t>START</t>
  </si>
  <si>
    <t>STOP</t>
  </si>
  <si>
    <t>PARCIAL</t>
  </si>
  <si>
    <t>TGT</t>
  </si>
  <si>
    <t>QTDE TMP</t>
  </si>
  <si>
    <t>QTDE</t>
  </si>
  <si>
    <t>VOLUME</t>
  </si>
  <si>
    <t>PERDA</t>
  </si>
  <si>
    <t>LUCRO PAR</t>
  </si>
  <si>
    <t>LUCRO ALVO</t>
  </si>
  <si>
    <t>QTDE PAR TMP</t>
  </si>
  <si>
    <t>QTDE PAR</t>
  </si>
  <si>
    <t>QTDE ALVO</t>
  </si>
  <si>
    <t>RISCO:1</t>
  </si>
  <si>
    <t>PER</t>
  </si>
  <si>
    <t>% IN</t>
  </si>
  <si>
    <t>% 85</t>
  </si>
  <si>
    <t>% TGT</t>
  </si>
  <si>
    <t>ATIVO</t>
  </si>
  <si>
    <t>PDGR3</t>
  </si>
  <si>
    <t>BISA3</t>
  </si>
  <si>
    <t>RETORNO</t>
  </si>
  <si>
    <t>RSID3</t>
  </si>
  <si>
    <t>GFSA3</t>
  </si>
  <si>
    <t>PATRIM.</t>
  </si>
  <si>
    <t>AGE</t>
  </si>
  <si>
    <t>% VOL</t>
  </si>
  <si>
    <t>MEIO</t>
  </si>
  <si>
    <t>CDL L</t>
  </si>
  <si>
    <t>CDL H</t>
  </si>
  <si>
    <t>BBAS3</t>
  </si>
  <si>
    <t>LLXL3</t>
  </si>
  <si>
    <t>INFLEXAO MAX</t>
  </si>
  <si>
    <t>% INFLEXÃO</t>
  </si>
  <si>
    <t>33%</t>
  </si>
  <si>
    <t>50%</t>
  </si>
  <si>
    <t>60%</t>
  </si>
  <si>
    <t>DIF 33%</t>
  </si>
  <si>
    <t>DIF 60%</t>
  </si>
  <si>
    <t>DIF 50%</t>
  </si>
  <si>
    <t>PERNA 10%</t>
  </si>
  <si>
    <t>BTOW3</t>
  </si>
  <si>
    <t>QTDE A</t>
  </si>
  <si>
    <t>QTDE MAX TMP</t>
  </si>
  <si>
    <t>QTDE MAX</t>
  </si>
  <si>
    <t>ALLL3</t>
  </si>
  <si>
    <t>TGT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</si>
</sst>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R$ &quot;* #,##0.00_);_(&quot;R$ &quot;* \(#,##0.00\);_(&quot;R$ 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164" fontId="2" fillId="0" borderId="0" xfId="1" applyFont="1"/>
    <xf numFmtId="9" fontId="2" fillId="0" borderId="0" xfId="2" applyFont="1"/>
    <xf numFmtId="10" fontId="2" fillId="0" borderId="0" xfId="2" applyNumberFormat="1" applyFont="1"/>
    <xf numFmtId="2" fontId="2" fillId="0" borderId="0" xfId="1" applyNumberFormat="1" applyFont="1"/>
    <xf numFmtId="1" fontId="2" fillId="0" borderId="0" xfId="1" applyNumberFormat="1" applyFont="1"/>
    <xf numFmtId="164" fontId="3" fillId="0" borderId="0" xfId="1" applyFont="1"/>
    <xf numFmtId="10" fontId="3" fillId="0" borderId="0" xfId="2" applyNumberFormat="1" applyFont="1"/>
    <xf numFmtId="2" fontId="2" fillId="0" borderId="0" xfId="0" applyNumberFormat="1" applyFont="1"/>
    <xf numFmtId="1" fontId="2" fillId="0" borderId="0" xfId="2" applyNumberFormat="1" applyFont="1"/>
    <xf numFmtId="1" fontId="2" fillId="0" borderId="0" xfId="0" applyNumberFormat="1" applyFont="1"/>
    <xf numFmtId="164" fontId="2" fillId="0" borderId="0" xfId="1" applyNumberFormat="1" applyFont="1"/>
    <xf numFmtId="164" fontId="5" fillId="0" borderId="0" xfId="1" applyFont="1"/>
    <xf numFmtId="164" fontId="5" fillId="0" borderId="0" xfId="1" applyFont="1" applyBorder="1"/>
    <xf numFmtId="1" fontId="5" fillId="0" borderId="0" xfId="1" applyNumberFormat="1" applyFont="1" applyBorder="1"/>
    <xf numFmtId="10" fontId="5" fillId="0" borderId="0" xfId="2" applyNumberFormat="1" applyFont="1" applyBorder="1"/>
    <xf numFmtId="9" fontId="5" fillId="0" borderId="0" xfId="2" applyFont="1" applyBorder="1"/>
    <xf numFmtId="0" fontId="5" fillId="0" borderId="0" xfId="0" applyFont="1"/>
    <xf numFmtId="0" fontId="5" fillId="0" borderId="0" xfId="0" applyFont="1" applyBorder="1"/>
    <xf numFmtId="164" fontId="2" fillId="0" borderId="0" xfId="0" applyNumberFormat="1" applyFont="1"/>
    <xf numFmtId="0" fontId="2" fillId="0" borderId="0" xfId="0" applyFont="1" applyBorder="1"/>
    <xf numFmtId="9" fontId="2" fillId="0" borderId="0" xfId="0" applyNumberFormat="1" applyFont="1"/>
    <xf numFmtId="0" fontId="6" fillId="0" borderId="0" xfId="0" applyFont="1" applyBorder="1"/>
    <xf numFmtId="164" fontId="6" fillId="0" borderId="0" xfId="1" applyFont="1" applyBorder="1"/>
    <xf numFmtId="10" fontId="6" fillId="0" borderId="0" xfId="2" applyNumberFormat="1" applyFont="1" applyBorder="1"/>
    <xf numFmtId="164" fontId="7" fillId="0" borderId="0" xfId="1" applyFont="1"/>
    <xf numFmtId="1" fontId="7" fillId="0" borderId="0" xfId="1" applyNumberFormat="1" applyFont="1"/>
    <xf numFmtId="10" fontId="7" fillId="0" borderId="0" xfId="2" applyNumberFormat="1" applyFont="1"/>
    <xf numFmtId="9" fontId="7" fillId="0" borderId="0" xfId="2" applyFont="1"/>
    <xf numFmtId="1" fontId="7" fillId="0" borderId="0" xfId="2" applyNumberFormat="1" applyFont="1"/>
    <xf numFmtId="164" fontId="7" fillId="0" borderId="0" xfId="1" applyNumberFormat="1" applyFont="1"/>
    <xf numFmtId="2" fontId="7" fillId="0" borderId="0" xfId="1" applyNumberFormat="1" applyFont="1"/>
    <xf numFmtId="0" fontId="7" fillId="0" borderId="0" xfId="0" applyFont="1"/>
    <xf numFmtId="1" fontId="2" fillId="2" borderId="0" xfId="2" applyNumberFormat="1" applyFont="1" applyFill="1"/>
  </cellXfs>
  <cellStyles count="3">
    <cellStyle name="Moeda" xfId="1" builtinId="4"/>
    <cellStyle name="Normal" xfId="0" builtinId="0"/>
    <cellStyle name="Porcentagem" xfId="2" builtinId="5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AI7" totalsRowShown="0" headerRowDxfId="83" dataDxfId="82">
  <autoFilter ref="A1:AI7"/>
  <tableColumns count="35">
    <tableColumn id="31" name="ATIVO" dataDxfId="81"/>
    <tableColumn id="5" name="PATRIM." dataDxfId="80" dataCellStyle="Moeda"/>
    <tableColumn id="6" name="AGE" dataDxfId="79" dataCellStyle="Moeda"/>
    <tableColumn id="1" name="INICIO" dataDxfId="78" dataCellStyle="Moeda"/>
    <tableColumn id="2" name="FIM" dataDxfId="77" dataCellStyle="Moeda"/>
    <tableColumn id="35" name="TGT +" dataDxfId="1" dataCellStyle="Moeda"/>
    <tableColumn id="9" name="% START" dataDxfId="76" dataCellStyle="Porcentagem"/>
    <tableColumn id="11" name="% STOP" dataDxfId="75" dataCellStyle="Porcentagem"/>
    <tableColumn id="10" name="% TGT" dataDxfId="74" dataCellStyle="Porcentagem"/>
    <tableColumn id="12" name="% VOL" dataDxfId="73" dataCellStyle="Porcentagem"/>
    <tableColumn id="13" name="% IN" dataDxfId="72" dataCellStyle="Porcentagem"/>
    <tableColumn id="19" name="PER" dataDxfId="71" dataCellStyle="Porcentagem">
      <calculatedColumnFormula>1</calculatedColumnFormula>
    </tableColumn>
    <tableColumn id="7" name="BASE RV" dataDxfId="70" dataCellStyle="Moeda">
      <calculatedColumnFormula>Tabela1[PATRIM.] * (1 - Tabela1[AGE] / 100)</calculatedColumnFormula>
    </tableColumn>
    <tableColumn id="8" name="RISCO" dataDxfId="69" dataCellStyle="Moeda">
      <calculatedColumnFormula>IF(Tabela1[BASE RV] &lt; SETUP!$A$2, Tabela1[BASE RV] * SETUP!$B$2, IF(Tabela1[BASE RV] &lt; SETUP!$A$3, Tabela1[BASE RV] * SETUP!$B$3, 0))</calculatedColumnFormula>
    </tableColumn>
    <tableColumn id="3" name="PERNA" dataDxfId="68" dataCellStyle="Moeda">
      <calculatedColumnFormula>IF(Tabela1[INICIO] &lt; Tabela1[FIM], Tabela1[FIM] - Tabela1[INICIO], Tabela1[INICIO] - Tabela1[FIM])</calculatedColumnFormula>
    </tableColumn>
    <tableColumn id="4" name="% PERNA" dataDxfId="67" dataCellStyle="Porcentagem">
      <calculatedColumnFormula>Tabela1[FIM] / Tabela1[INICIO] - 1</calculatedColumnFormula>
    </tableColumn>
    <tableColumn id="15" name="RETORNO" dataDxfId="66" dataCellStyle="Moeda">
      <calculatedColumnFormula>ABS(Tabela1[PERNA] * Tabela1[% IN] + IF(Tabela1[INICIO] &lt; Tabela1[FIM], - Tabela1[FIM], + Tabela1[FIM]))</calculatedColumnFormula>
    </tableColumn>
    <tableColumn id="16" name="START" dataDxfId="65" dataCellStyle="Moeda">
      <calculatedColumnFormula>TRUNC(Tabela1[RETORNO] * IF(Tabela1[INICIO] &lt; Tabela1[FIM], (1 - ABS(Tabela1[% PERNA]) * Tabela1[% START] * 10), (1 + ABS(Tabela1[% PERNA]) * Tabela1[% START] * 10)), 2)</calculatedColumnFormula>
    </tableColumn>
    <tableColumn id="17" name="STOP" dataDxfId="64">
      <calculatedColumnFormula>TRUNC(Tabela1[START] * IF(Tabela1[INICIO] &lt; Tabela1[FIM], (1 - ABS(Tabela1[% PERNA]) * Tabela1[% STOP] * 10), (1 + ABS(Tabela1[% PERNA]) * Tabela1[% STOP] * 10)), 2)</calculatedColumnFormula>
    </tableColumn>
    <tableColumn id="18" name="PARCIAL" dataDxfId="63">
      <calculatedColumnFormula>Tabela1[START] * IF(Tabela1[INICIO] &lt; Tabela1[FIM], (1 + Tabela1[% VOL] / 10 * 1.5 * Tabela1[PER]), (1 - Tabela1[% VOL] / 10 * 1.5 * Tabela1[PER]))</calculatedColumnFormula>
    </tableColumn>
    <tableColumn id="20" name="TGT" dataDxfId="0">
      <calculatedColumnFormula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calculatedColumnFormula>
    </tableColumn>
    <tableColumn id="21" name="QTDE TMP" dataDxfId="62">
      <calculatedColumnFormula>ROUNDDOWN(Tabela1[RISCO] / (ABS(Tabela1[START] - Tabela1[STOP])), 0)</calculatedColumnFormula>
    </tableColumn>
    <tableColumn id="22" name="QTDE A" dataDxfId="61">
      <calculatedColumnFormula>Tabela1[QTDE TMP] - MOD(Tabela1[QTDE TMP], 100)</calculatedColumnFormula>
    </tableColumn>
    <tableColumn id="34" name="QTDE MAX TMP" dataDxfId="8">
      <calculatedColumnFormula>(Tabela1[PATRIM.] / 3) / Tabela1[START]</calculatedColumnFormula>
    </tableColumn>
    <tableColumn id="33" name="QTDE MAX" dataDxfId="7">
      <calculatedColumnFormula>Tabela1[QTDE MAX TMP] - MOD(Tabela1[QTDE MAX TMP], 100)</calculatedColumnFormula>
    </tableColumn>
    <tableColumn id="32" name="QTDE" dataDxfId="6">
      <calculatedColumnFormula>MIN(Tabela1[[#This Row],[QTDE A]], Tabela1[[#This Row],[QTDE MAX]])</calculatedColumnFormula>
    </tableColumn>
    <tableColumn id="23" name="VOLUME" dataDxfId="5">
      <calculatedColumnFormula>Tabela1[QTDE] * Tabela1[START]</calculatedColumnFormula>
    </tableColumn>
    <tableColumn id="24" name="PERDA" dataDxfId="4">
      <calculatedColumnFormula>ABS(Tabela1[START] - Tabela1[STOP]) * Tabela1[QTDE] + 30</calculatedColumnFormula>
    </tableColumn>
    <tableColumn id="27" name="QTDE PAR TMP" dataDxfId="3" dataCellStyle="Moeda">
      <calculatedColumnFormula>Tabela1[QTDE] / 2</calculatedColumnFormula>
    </tableColumn>
    <tableColumn id="28" name="QTDE PAR" dataDxfId="60" dataCellStyle="Moeda">
      <calculatedColumnFormula>Tabela1[QTDE PAR TMP] + MOD(Tabela1[QTDE PAR TMP], 100)</calculatedColumnFormula>
    </tableColumn>
    <tableColumn id="25" name="LUCRO PAR" dataDxfId="59">
      <calculatedColumnFormula>ABS(Tabela1[PARCIAL] - Tabela1[START]) * Tabela1[QTDE PAR] - 30</calculatedColumnFormula>
    </tableColumn>
    <tableColumn id="29" name="QTDE ALVO" dataDxfId="2" dataCellStyle="Moeda">
      <calculatedColumnFormula>Tabela1[QTDE] - Tabela1[QTDE PAR]</calculatedColumnFormula>
    </tableColumn>
    <tableColumn id="26" name="LUCRO ALVO" dataDxfId="58">
      <calculatedColumnFormula>ABS(Tabela1[TGT] - Tabela1[START]) * Tabela1[QTDE ALVO] + Tabela1[LUCRO PAR] - 15</calculatedColumnFormula>
    </tableColumn>
    <tableColumn id="30" name="RISCO:1" dataDxfId="57" dataCellStyle="Moeda">
      <calculatedColumnFormula>Tabela1[LUCRO ALVO] / Tabela1[PERDA]</calculatedColumnFormula>
    </tableColumn>
    <tableColumn id="14" name="% 85" dataDxfId="56" dataCellStyle="Moeda">
      <calculatedColumnFormula>IF(Tabela1[INICIO] &lt; Tabela1[FIM], Tabela1[START] + ABS(Tabela1[TGT] - Tabela1[START]) * 85%, Tabela1[START] - ABS(Tabela1[TGT] - Tabela1[START]) * 85%)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AC3" totalsRowShown="0" headerRowDxfId="55" dataDxfId="54">
  <autoFilter ref="A1:AC3"/>
  <tableColumns count="29">
    <tableColumn id="31" name="ATIVO" dataDxfId="53"/>
    <tableColumn id="5" name="PATRIM." dataDxfId="52" dataCellStyle="Moeda"/>
    <tableColumn id="6" name="AGE" dataDxfId="51" dataCellStyle="Moeda"/>
    <tableColumn id="1" name="INICIO" dataDxfId="50" dataCellStyle="Moeda"/>
    <tableColumn id="2" name="MEIO" dataDxfId="49" dataCellStyle="Moeda"/>
    <tableColumn id="32" name="FIM" dataDxfId="48" dataCellStyle="Moeda"/>
    <tableColumn id="34" name="CDL H" dataDxfId="47" dataCellStyle="Moeda"/>
    <tableColumn id="33" name="CDL L" dataDxfId="46" dataCellStyle="Moeda"/>
    <tableColumn id="12" name="% VOL" dataDxfId="45" dataCellStyle="Porcentagem"/>
    <tableColumn id="19" name="PER" dataDxfId="44" dataCellStyle="Porcentagem">
      <calculatedColumnFormula>1</calculatedColumnFormula>
    </tableColumn>
    <tableColumn id="7" name="BASE RV" dataDxfId="43" dataCellStyle="Moeda">
      <calculatedColumnFormula>Tabela13[PATRIM.] * (1 - Tabela13[AGE] / 100)</calculatedColumnFormula>
    </tableColumn>
    <tableColumn id="8" name="RISCO" dataDxfId="42" dataCellStyle="Moeda">
      <calculatedColumnFormula>IF(Tabela13[BASE RV] &lt; SETUP!$A$2, Tabela13[BASE RV] * SETUP!$B$2, IF(Tabela13[BASE RV] &lt; SETUP!$A$3, Tabela13[BASE RV] * SETUP!$B$3, 0))</calculatedColumnFormula>
    </tableColumn>
    <tableColumn id="3" name="PERNA" dataDxfId="41" dataCellStyle="Moeda">
      <calculatedColumnFormula>IF(Tabela13[INICIO] &lt; Tabela13[MEIO], Tabela13[MEIO] - Tabela13[INICIO], Tabela13[INICIO] - Tabela13[MEIO])</calculatedColumnFormula>
    </tableColumn>
    <tableColumn id="4" name="% PERNA" dataDxfId="40" dataCellStyle="Porcentagem">
      <calculatedColumnFormula>Tabela13[MEIO] / Tabela13[INICIO] - 1</calculatedColumnFormula>
    </tableColumn>
    <tableColumn id="16" name="START" dataDxfId="39" dataCellStyle="Moeda">
      <calculatedColumnFormula>IF(Tabela13[INICIO] &lt; Tabela13[MEIO], Tabela13[CDL H] + 0.02, Tabela13[CDL L] - 0.02)</calculatedColumnFormula>
    </tableColumn>
    <tableColumn id="17" name="STOP" dataDxfId="38">
      <calculatedColumnFormula>IF(Tabela13[INICIO] &lt; Tabela13[MEIO], Tabela13[CDL L] - 0.02, Tabela13[CDL H] + 0.02)</calculatedColumnFormula>
    </tableColumn>
    <tableColumn id="18" name="PARCIAL" dataDxfId="37">
      <calculatedColumnFormula>Tabela13[START] * IF(Tabela13[INICIO] &lt; Tabela13[MEIO], (1 + Tabela13[% VOL] / 10 * 1.5 * Tabela13[PER]), (1 - Tabela13[% VOL] / 10 * 1.5 * Tabela13[PER]))</calculatedColumnFormula>
    </tableColumn>
    <tableColumn id="20" name="TGT" dataDxfId="36">
      <calculatedColumnFormula>IF(Tabela13[INICIO] &lt; Tabela13[MEIO],  Tabela13[FIM] + (Tabela13[MEIO] - Tabela13[INICIO]), Tabela13[FIM] - (Tabela13[INICIO] - Tabela13[MEIO]))</calculatedColumnFormula>
    </tableColumn>
    <tableColumn id="21" name="QTDE TMP" dataDxfId="35">
      <calculatedColumnFormula>ROUNDDOWN(Tabela13[RISCO] / (ABS(Tabela13[CDL H] - Tabela13[CDL L])), 0)</calculatedColumnFormula>
    </tableColumn>
    <tableColumn id="22" name="QTDE" dataDxfId="34">
      <calculatedColumnFormula>Tabela13[QTDE TMP] - MOD(Tabela13[QTDE TMP], 100)</calculatedColumnFormula>
    </tableColumn>
    <tableColumn id="23" name="VOLUME" dataDxfId="33">
      <calculatedColumnFormula>Tabela13[QTDE] * Tabela13[START]</calculatedColumnFormula>
    </tableColumn>
    <tableColumn id="24" name="PERDA" dataDxfId="32">
      <calculatedColumnFormula>ABS(Tabela13[START] - Tabela13[STOP]) * Tabela13[QTDE]</calculatedColumnFormula>
    </tableColumn>
    <tableColumn id="27" name="QTDE PAR TMP" dataDxfId="31" dataCellStyle="Moeda">
      <calculatedColumnFormula>Tabela13[QTDE] / 2</calculatedColumnFormula>
    </tableColumn>
    <tableColumn id="28" name="QTDE PAR" dataDxfId="30" dataCellStyle="Moeda">
      <calculatedColumnFormula>Tabela13[QTDE PAR TMP] + MOD(Tabela13[QTDE PAR TMP], 100)</calculatedColumnFormula>
    </tableColumn>
    <tableColumn id="25" name="LUCRO PAR" dataDxfId="29">
      <calculatedColumnFormula>ABS(Tabela13[PARCIAL] - Tabela13[START]) * Tabela13[QTDE PAR]</calculatedColumnFormula>
    </tableColumn>
    <tableColumn id="29" name="QTDE ALVO" dataDxfId="28" dataCellStyle="Moeda">
      <calculatedColumnFormula>Tabela13[QTDE] - Tabela13[QTDE PAR]</calculatedColumnFormula>
    </tableColumn>
    <tableColumn id="26" name="LUCRO ALVO" dataDxfId="27">
      <calculatedColumnFormula>ABS(Tabela13[TGT] - Tabela13[START]) * Tabela13[QTDE ALVO] + Tabela13[LUCRO PAR]</calculatedColumnFormula>
    </tableColumn>
    <tableColumn id="30" name="RISCO:1" dataDxfId="26" dataCellStyle="Moeda">
      <calculatedColumnFormula>Tabela13[LUCRO ALVO] / Tabela13[PERDA]</calculatedColumnFormula>
    </tableColumn>
    <tableColumn id="14" name="% 85" dataDxfId="25" dataCellStyle="Moeda">
      <calculatedColumnFormula>IF(Tabela13[INICIO] &lt; Tabela13[MEIO], Tabela13[START] + ABS(Tabela13[TGT] - Tabela13[START]) * 85%, Tabela13[START] - ABS(Tabela13[TGT] - Tabela13[START]) * 85%)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N6" totalsRowShown="0" headerRowDxfId="24" dataDxfId="23">
  <autoFilter ref="A1:N6"/>
  <tableColumns count="14">
    <tableColumn id="1" name="ATIVO" dataDxfId="22"/>
    <tableColumn id="2" name="INICIO" dataDxfId="21" dataCellStyle="Moeda"/>
    <tableColumn id="3" name="FIM" dataDxfId="20" dataCellStyle="Moeda"/>
    <tableColumn id="4" name="INFLEXAO MAX" dataDxfId="19" dataCellStyle="Moeda"/>
    <tableColumn id="9" name="PERNA" dataDxfId="18" dataCellStyle="Moeda">
      <calculatedColumnFormula>Tabela3[INICIO]-Tabela3[FIM]</calculatedColumnFormula>
    </tableColumn>
    <tableColumn id="8" name="33%" dataDxfId="17" dataCellStyle="Moeda">
      <calculatedColumnFormula>ROUND(Tabela3[PERNA] * 33%, 2) + Tabela3[FIM]</calculatedColumnFormula>
    </tableColumn>
    <tableColumn id="7" name="50%" dataDxfId="16" dataCellStyle="Moeda">
      <calculatedColumnFormula>ROUND(Tabela3[PERNA] * 50%, 2) + Tabela3[FIM]</calculatedColumnFormula>
    </tableColumn>
    <tableColumn id="6" name="60%" dataDxfId="15" dataCellStyle="Moeda">
      <calculatedColumnFormula>ROUND(Tabela3[PERNA] * 60%, 2) + Tabela3[FIM]</calculatedColumnFormula>
    </tableColumn>
    <tableColumn id="12" name="DIF 33%" dataDxfId="14" dataCellStyle="Porcentagem">
      <calculatedColumnFormula>Tabela3[INFLEXAO MAX]/Tabela3[33%] - 1</calculatedColumnFormula>
    </tableColumn>
    <tableColumn id="11" name="DIF 50%" dataDxfId="13" dataCellStyle="Porcentagem">
      <calculatedColumnFormula>Tabela3[INFLEXAO MAX]/Tabela3[50%] - 1</calculatedColumnFormula>
    </tableColumn>
    <tableColumn id="10" name="DIF 60%" dataDxfId="12" dataCellStyle="Porcentagem">
      <calculatedColumnFormula>Tabela3[INFLEXAO MAX]/Tabela3[60%] - 1</calculatedColumnFormula>
    </tableColumn>
    <tableColumn id="13" name="% PERNA" dataDxfId="11" dataCellStyle="Porcentagem">
      <calculatedColumnFormula>1 - Tabela3[FIM]/Tabela3[INICIO]</calculatedColumnFormula>
    </tableColumn>
    <tableColumn id="5" name="% INFLEXÃO" dataDxfId="10" dataCellStyle="Porcentagem">
      <calculatedColumnFormula array="1">MIN(IF(Tabela3[[#This Row],[DIF 33%]:[DIF 60%]] &gt; 0, Tabela3[[#This Row],[DIF 33%]:[DIF 60%]]))</calculatedColumnFormula>
    </tableColumn>
    <tableColumn id="14" name="PERNA 10%" dataDxfId="9" dataCellStyle="Porcentagem">
      <calculatedColumnFormula>10% * Tabela3[% INFLEXÃO] / Tabela3[% PERNA]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7"/>
  <sheetViews>
    <sheetView tabSelected="1" workbookViewId="0">
      <pane xSplit="15" ySplit="1" topLeftCell="P2" activePane="bottomRight" state="frozen"/>
      <selection pane="topRight" activeCell="P1" sqref="P1"/>
      <selection pane="bottomLeft" activeCell="A2" sqref="A2"/>
      <selection pane="bottomRight" activeCell="E17" sqref="E17"/>
    </sheetView>
  </sheetViews>
  <sheetFormatPr defaultRowHeight="11.25" x14ac:dyDescent="0.2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5" width="6.85546875" style="4" bestFit="1" customWidth="1"/>
    <col min="6" max="6" width="7.7109375" style="2" bestFit="1" customWidth="1"/>
    <col min="7" max="7" width="7.85546875" style="4" bestFit="1" customWidth="1"/>
    <col min="8" max="8" width="7" style="4" bestFit="1" customWidth="1"/>
    <col min="9" max="9" width="7.28515625" style="3" bestFit="1" customWidth="1"/>
    <col min="10" max="10" width="6" style="11" bestFit="1" customWidth="1"/>
    <col min="11" max="11" width="5.7109375" style="1" bestFit="1" customWidth="1"/>
    <col min="12" max="12" width="9" style="1" customWidth="1"/>
    <col min="13" max="13" width="9.140625" style="1" hidden="1" customWidth="1"/>
    <col min="14" max="14" width="14" style="1" hidden="1" customWidth="1"/>
    <col min="15" max="15" width="8" style="2" hidden="1" customWidth="1"/>
    <col min="16" max="16" width="9.28515625" style="1" hidden="1" customWidth="1"/>
    <col min="17" max="17" width="8" style="1" bestFit="1" customWidth="1"/>
    <col min="18" max="18" width="8.140625" style="1" bestFit="1" customWidth="1"/>
    <col min="19" max="19" width="7.42578125" style="1" bestFit="1" customWidth="1"/>
    <col min="20" max="20" width="9.85546875" style="11" bestFit="1" customWidth="1"/>
    <col min="21" max="21" width="7.7109375" style="11" bestFit="1" customWidth="1"/>
    <col min="22" max="22" width="8.140625" style="1" hidden="1" customWidth="1"/>
    <col min="23" max="23" width="13.7109375" style="1" hidden="1" customWidth="1"/>
    <col min="24" max="25" width="10.42578125" style="1" hidden="1" customWidth="1"/>
    <col min="26" max="26" width="6.85546875" style="1" bestFit="1" customWidth="1"/>
    <col min="27" max="27" width="9.85546875" style="11" hidden="1" customWidth="1"/>
    <col min="28" max="28" width="7.7109375" style="1" bestFit="1" customWidth="1"/>
    <col min="29" max="29" width="10.5703125" style="1" hidden="1" customWidth="1"/>
    <col min="30" max="30" width="10.5703125" style="11" hidden="1" customWidth="1"/>
    <col min="31" max="31" width="10.7109375" style="1" customWidth="1"/>
    <col min="32" max="32" width="11.5703125" style="9" hidden="1" customWidth="1"/>
    <col min="33" max="33" width="11.7109375" style="2" bestFit="1" customWidth="1"/>
    <col min="34" max="34" width="8.42578125" style="1" bestFit="1" customWidth="1"/>
    <col min="35" max="35" width="7.7109375" style="1" bestFit="1" customWidth="1"/>
    <col min="36" max="16384" width="9.140625" style="1"/>
  </cols>
  <sheetData>
    <row r="1" spans="1:35" x14ac:dyDescent="0.2">
      <c r="A1" s="18" t="s">
        <v>27</v>
      </c>
      <c r="B1" s="1" t="s">
        <v>33</v>
      </c>
      <c r="C1" s="1" t="s">
        <v>34</v>
      </c>
      <c r="D1" s="1" t="s">
        <v>0</v>
      </c>
      <c r="E1" s="1" t="s">
        <v>1</v>
      </c>
      <c r="F1" s="2" t="s">
        <v>55</v>
      </c>
      <c r="G1" s="4" t="s">
        <v>7</v>
      </c>
      <c r="H1" s="4" t="s">
        <v>8</v>
      </c>
      <c r="I1" s="4" t="s">
        <v>26</v>
      </c>
      <c r="J1" s="4" t="s">
        <v>35</v>
      </c>
      <c r="K1" s="3" t="s">
        <v>24</v>
      </c>
      <c r="L1" s="10" t="s">
        <v>23</v>
      </c>
      <c r="M1" s="1" t="s">
        <v>4</v>
      </c>
      <c r="N1" s="1" t="s">
        <v>5</v>
      </c>
      <c r="O1" s="1" t="s">
        <v>2</v>
      </c>
      <c r="P1" s="1" t="s">
        <v>3</v>
      </c>
      <c r="Q1" s="1" t="s">
        <v>30</v>
      </c>
      <c r="R1" s="2" t="s">
        <v>9</v>
      </c>
      <c r="S1" s="2" t="s">
        <v>10</v>
      </c>
      <c r="T1" s="2" t="s">
        <v>11</v>
      </c>
      <c r="U1" s="2" t="s">
        <v>12</v>
      </c>
      <c r="V1" s="6" t="s">
        <v>13</v>
      </c>
      <c r="W1" s="6" t="s">
        <v>51</v>
      </c>
      <c r="X1" s="6" t="s">
        <v>52</v>
      </c>
      <c r="Y1" s="6" t="s">
        <v>53</v>
      </c>
      <c r="Z1" s="6" t="s">
        <v>14</v>
      </c>
      <c r="AA1" s="6" t="s">
        <v>15</v>
      </c>
      <c r="AB1" s="6" t="s">
        <v>16</v>
      </c>
      <c r="AC1" s="6" t="s">
        <v>19</v>
      </c>
      <c r="AD1" s="6" t="s">
        <v>20</v>
      </c>
      <c r="AE1" s="6" t="s">
        <v>17</v>
      </c>
      <c r="AF1" s="6" t="s">
        <v>21</v>
      </c>
      <c r="AG1" s="6" t="s">
        <v>18</v>
      </c>
      <c r="AH1" s="5" t="s">
        <v>22</v>
      </c>
      <c r="AI1" s="13" t="s">
        <v>25</v>
      </c>
    </row>
    <row r="2" spans="1:35" s="33" customFormat="1" x14ac:dyDescent="0.2">
      <c r="A2" s="26" t="s">
        <v>28</v>
      </c>
      <c r="B2" s="26">
        <v>4800</v>
      </c>
      <c r="C2" s="27">
        <v>26</v>
      </c>
      <c r="D2" s="26">
        <v>5.17</v>
      </c>
      <c r="E2" s="26">
        <v>2.87</v>
      </c>
      <c r="F2" s="26">
        <v>0</v>
      </c>
      <c r="G2" s="28">
        <v>2.5000000000000001E-3</v>
      </c>
      <c r="H2" s="28">
        <v>4.0000000000000001E-3</v>
      </c>
      <c r="I2" s="28">
        <v>1.5E-3</v>
      </c>
      <c r="J2" s="28">
        <v>0.97489999999999999</v>
      </c>
      <c r="K2" s="29">
        <v>0.5</v>
      </c>
      <c r="L2" s="30">
        <f>1</f>
        <v>1</v>
      </c>
      <c r="M2" s="26">
        <f>Tabela1[PATRIM.] * (1 - Tabela1[AGE] / 100)</f>
        <v>3552</v>
      </c>
      <c r="N2" s="26">
        <f>IF(Tabela1[BASE RV] &lt; SETUP!$A$2, Tabela1[BASE RV] * SETUP!$B$2, IF(Tabela1[BASE RV] &lt; SETUP!$A$3, Tabela1[BASE RV] * SETUP!$B$3, 0))</f>
        <v>71.040000000000006</v>
      </c>
      <c r="O2" s="26">
        <f>IF(Tabela1[INICIO] &lt; Tabela1[FIM], Tabela1[FIM] - Tabela1[INICIO], Tabela1[INICIO] - Tabela1[FIM])</f>
        <v>2.2999999999999998</v>
      </c>
      <c r="P2" s="28">
        <f>Tabela1[FIM] / Tabela1[INICIO] - 1</f>
        <v>-0.44487427466150864</v>
      </c>
      <c r="Q2" s="26">
        <f>ABS(Tabela1[PERNA] * Tabela1[% IN] + IF(Tabela1[INICIO] &lt; Tabela1[FIM], - Tabela1[FIM], + Tabela1[FIM]))</f>
        <v>4.0199999999999996</v>
      </c>
      <c r="R2" s="26">
        <f>TRUNC(Tabela1[RETORNO] * IF(Tabela1[INICIO] &lt; Tabela1[FIM], (1 - ABS(Tabela1[% PERNA]) * Tabela1[% START] * 10), (1 + ABS(Tabela1[% PERNA]) * Tabela1[% START] * 10)), 2)</f>
        <v>4.0599999999999996</v>
      </c>
      <c r="S2" s="26">
        <f>TRUNC(Tabela1[START] * IF(Tabela1[INICIO] &lt; Tabela1[FIM], (1 - ABS(Tabela1[% PERNA]) * Tabela1[% STOP] * 10), (1 + ABS(Tabela1[% PERNA]) * Tabela1[% STOP] * 10)), 2)</f>
        <v>4.13</v>
      </c>
      <c r="T2" s="26">
        <f>Tabela1[START] * IF(Tabela1[INICIO] &lt; Tabela1[FIM], (1 + Tabela1[% VOL] / 10 * 1.5 * Tabela1[PER]), (1 - Tabela1[% VOL] / 10 * 1.5 * Tabela1[PER]))</f>
        <v>3.4662858999999995</v>
      </c>
      <c r="U2" s="26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1.84</v>
      </c>
      <c r="V2" s="27">
        <f>ROUNDDOWN(Tabela1[RISCO] / (ABS(Tabela1[START] - Tabela1[STOP])), 0)</f>
        <v>1014</v>
      </c>
      <c r="W2" s="27">
        <f>Tabela1[QTDE TMP] - MOD(Tabela1[QTDE TMP], 100)</f>
        <v>1000</v>
      </c>
      <c r="X2" s="27">
        <f>(Tabela1[PATRIM.] / 3) / Tabela1[START]</f>
        <v>394.08866995073896</v>
      </c>
      <c r="Y2" s="27">
        <f>Tabela1[QTDE MAX TMP] - MOD(Tabela1[QTDE MAX TMP], 100)</f>
        <v>300</v>
      </c>
      <c r="Z2" s="27">
        <f>MIN(Tabela1[[#This Row],[QTDE A]], Tabela1[[#This Row],[QTDE MAX]])</f>
        <v>300</v>
      </c>
      <c r="AA2" s="31">
        <f>Tabela1[QTDE] * Tabela1[START]</f>
        <v>1217.9999999999998</v>
      </c>
      <c r="AB2" s="31">
        <f>ABS(Tabela1[START] - Tabela1[STOP]) * Tabela1[QTDE] + 30</f>
        <v>51.000000000000085</v>
      </c>
      <c r="AC2" s="27">
        <f>Tabela1[QTDE] / 2</f>
        <v>150</v>
      </c>
      <c r="AD2" s="27">
        <f>Tabela1[QTDE PAR TMP] + MOD(Tabela1[QTDE PAR TMP], 100)</f>
        <v>200</v>
      </c>
      <c r="AE2" s="31">
        <f>ABS(Tabela1[PARCIAL] - Tabela1[START]) * Tabela1[QTDE PAR] - 30</f>
        <v>88.742820000000023</v>
      </c>
      <c r="AF2" s="27">
        <f>Tabela1[QTDE] - Tabela1[QTDE PAR]</f>
        <v>100</v>
      </c>
      <c r="AG2" s="31">
        <f>ABS(Tabela1[TGT] - Tabela1[START]) * Tabela1[QTDE ALVO] + Tabela1[LUCRO PAR] - 15</f>
        <v>295.74281999999999</v>
      </c>
      <c r="AH2" s="32">
        <f>Tabela1[LUCRO ALVO] / Tabela1[PERDA]</f>
        <v>5.7988788235294022</v>
      </c>
      <c r="AI2" s="26">
        <f>IF(Tabela1[INICIO] &lt; Tabela1[FIM], Tabela1[START] + ABS(Tabela1[TGT] - Tabela1[START]) * 85%, Tabela1[START] - ABS(Tabela1[TGT] - Tabela1[START]) * 85%)</f>
        <v>2.173</v>
      </c>
    </row>
    <row r="3" spans="1:35" x14ac:dyDescent="0.2">
      <c r="A3" s="21" t="s">
        <v>40</v>
      </c>
      <c r="B3" s="14">
        <v>4800</v>
      </c>
      <c r="C3" s="15">
        <v>26</v>
      </c>
      <c r="D3" s="14">
        <v>2.54</v>
      </c>
      <c r="E3" s="14">
        <v>2.08</v>
      </c>
      <c r="F3" s="14">
        <v>0</v>
      </c>
      <c r="G3" s="16">
        <v>2.5000000000000001E-3</v>
      </c>
      <c r="H3" s="16">
        <v>7.4000000000000003E-3</v>
      </c>
      <c r="I3" s="16">
        <v>1.5E-3</v>
      </c>
      <c r="J3" s="16">
        <v>0.68899999999999995</v>
      </c>
      <c r="K3" s="17">
        <v>0.5</v>
      </c>
      <c r="L3" s="10">
        <f>1</f>
        <v>1</v>
      </c>
      <c r="M3" s="2">
        <f>Tabela1[PATRIM.] * (1 - Tabela1[AGE] / 100)</f>
        <v>3552</v>
      </c>
      <c r="N3" s="2">
        <f>IF(Tabela1[BASE RV] &lt; SETUP!$A$2, Tabela1[BASE RV] * SETUP!$B$2, IF(Tabela1[BASE RV] &lt; SETUP!$A$3, Tabela1[BASE RV] * SETUP!$B$3, 0))</f>
        <v>71.040000000000006</v>
      </c>
      <c r="O3" s="2">
        <f>IF(Tabela1[INICIO] &lt; Tabela1[FIM], Tabela1[FIM] - Tabela1[INICIO], Tabela1[INICIO] - Tabela1[FIM])</f>
        <v>0.45999999999999996</v>
      </c>
      <c r="P3" s="4">
        <f>Tabela1[FIM] / Tabela1[INICIO] - 1</f>
        <v>-0.18110236220472442</v>
      </c>
      <c r="Q3" s="12">
        <f>ABS(Tabela1[PERNA] * Tabela1[% IN] + IF(Tabela1[INICIO] &lt; Tabela1[FIM], - Tabela1[FIM], + Tabela1[FIM]))</f>
        <v>2.31</v>
      </c>
      <c r="R3" s="12">
        <f>TRUNC(Tabela1[RETORNO] * IF(Tabela1[INICIO] &lt; Tabela1[FIM], (1 - ABS(Tabela1[% PERNA]) * Tabela1[% START] * 10), (1 + ABS(Tabela1[% PERNA]) * Tabela1[% START] * 10)), 2)</f>
        <v>2.3199999999999998</v>
      </c>
      <c r="S3" s="20">
        <f>TRUNC(Tabela1[START] * IF(Tabela1[INICIO] &lt; Tabela1[FIM], (1 - ABS(Tabela1[% PERNA]) * Tabela1[% STOP] * 10), (1 + ABS(Tabela1[% PERNA]) * Tabela1[% STOP] * 10)), 2)</f>
        <v>2.35</v>
      </c>
      <c r="T3" s="20">
        <f>Tabela1[START] * IF(Tabela1[INICIO] &lt; Tabela1[FIM], (1 + Tabela1[% VOL] / 10 * 1.5 * Tabela1[PER]), (1 - Tabela1[% VOL] / 10 * 1.5 * Tabela1[PER]))</f>
        <v>2.080228</v>
      </c>
      <c r="U3" s="20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1.89</v>
      </c>
      <c r="V3" s="11">
        <f>ROUNDDOWN(Tabela1[RISCO] / (ABS(Tabela1[START] - Tabela1[STOP])), 0)</f>
        <v>2367</v>
      </c>
      <c r="W3" s="11">
        <f>Tabela1[QTDE TMP] - MOD(Tabela1[QTDE TMP], 100)</f>
        <v>2300</v>
      </c>
      <c r="X3" s="11">
        <f>(Tabela1[PATRIM.] / 3) / Tabela1[START]</f>
        <v>689.65517241379314</v>
      </c>
      <c r="Y3" s="11">
        <f>Tabela1[QTDE MAX TMP] - MOD(Tabela1[QTDE MAX TMP], 100)</f>
        <v>600</v>
      </c>
      <c r="Z3" s="11">
        <f>MIN(Tabela1[[#This Row],[QTDE A]], Tabela1[[#This Row],[QTDE MAX]])</f>
        <v>600</v>
      </c>
      <c r="AA3" s="20">
        <f>Tabela1[QTDE] * Tabela1[START]</f>
        <v>1392</v>
      </c>
      <c r="AB3" s="20">
        <f>ABS(Tabela1[START] - Tabela1[STOP]) * Tabela1[QTDE] + 30</f>
        <v>48.000000000000149</v>
      </c>
      <c r="AC3" s="6">
        <f>Tabela1[QTDE] / 2</f>
        <v>300</v>
      </c>
      <c r="AD3" s="6">
        <f>Tabela1[QTDE PAR TMP] + MOD(Tabela1[QTDE PAR TMP], 100)</f>
        <v>300</v>
      </c>
      <c r="AE3" s="20">
        <f>ABS(Tabela1[PARCIAL] - Tabela1[START]) * Tabela1[QTDE PAR] - 30</f>
        <v>41.93159999999996</v>
      </c>
      <c r="AF3" s="6">
        <f>Tabela1[QTDE] - Tabela1[QTDE PAR]</f>
        <v>300</v>
      </c>
      <c r="AG3" s="20">
        <f>ABS(Tabela1[TGT] - Tabela1[START]) * Tabela1[QTDE ALVO] + Tabela1[LUCRO PAR] - 15</f>
        <v>155.93159999999995</v>
      </c>
      <c r="AH3" s="5">
        <f>Tabela1[LUCRO ALVO] / Tabela1[PERDA]</f>
        <v>3.2485749999999887</v>
      </c>
      <c r="AI3" s="12">
        <f>IF(Tabela1[INICIO] &lt; Tabela1[FIM], Tabela1[START] + ABS(Tabela1[TGT] - Tabela1[START]) * 85%, Tabela1[START] - ABS(Tabela1[TGT] - Tabela1[START]) * 85%)</f>
        <v>1.9544999999999999</v>
      </c>
    </row>
    <row r="4" spans="1:35" x14ac:dyDescent="0.2">
      <c r="A4" s="19" t="s">
        <v>32</v>
      </c>
      <c r="B4" s="14">
        <v>4800</v>
      </c>
      <c r="C4" s="15">
        <v>26</v>
      </c>
      <c r="D4" s="14">
        <v>4.03</v>
      </c>
      <c r="E4" s="14">
        <v>2.09</v>
      </c>
      <c r="F4" s="14">
        <v>0</v>
      </c>
      <c r="G4" s="16">
        <v>2.5000000000000001E-3</v>
      </c>
      <c r="H4" s="16">
        <v>5.0000000000000001E-3</v>
      </c>
      <c r="I4" s="16">
        <v>1.5E-3</v>
      </c>
      <c r="J4" s="16">
        <v>0.34399999999999997</v>
      </c>
      <c r="K4" s="17">
        <v>0.5</v>
      </c>
      <c r="L4" s="10">
        <f>1</f>
        <v>1</v>
      </c>
      <c r="M4" s="2">
        <f>Tabela1[PATRIM.] * (1 - Tabela1[AGE] / 100)</f>
        <v>3552</v>
      </c>
      <c r="N4" s="2">
        <f>IF(Tabela1[BASE RV] &lt; SETUP!$A$2, Tabela1[BASE RV] * SETUP!$B$2, IF(Tabela1[BASE RV] &lt; SETUP!$A$3, Tabela1[BASE RV] * SETUP!$B$3, 0))</f>
        <v>71.040000000000006</v>
      </c>
      <c r="O4" s="2">
        <f>IF(Tabela1[INICIO] &lt; Tabela1[FIM], Tabela1[FIM] - Tabela1[INICIO], Tabela1[INICIO] - Tabela1[FIM])</f>
        <v>1.9400000000000004</v>
      </c>
      <c r="P4" s="4">
        <f>Tabela1[FIM] / Tabela1[INICIO] - 1</f>
        <v>-0.48138957816377181</v>
      </c>
      <c r="Q4" s="12">
        <f>ABS(Tabela1[PERNA] * Tabela1[% IN] + IF(Tabela1[INICIO] &lt; Tabela1[FIM], - Tabela1[FIM], + Tabela1[FIM]))</f>
        <v>3.06</v>
      </c>
      <c r="R4" s="12">
        <f>TRUNC(Tabela1[RETORNO] * IF(Tabela1[INICIO] &lt; Tabela1[FIM], (1 - ABS(Tabela1[% PERNA]) * Tabela1[% START] * 10), (1 + ABS(Tabela1[% PERNA]) * Tabela1[% START] * 10)), 2)</f>
        <v>3.09</v>
      </c>
      <c r="S4" s="20">
        <f>TRUNC(Tabela1[START] * IF(Tabela1[INICIO] &lt; Tabela1[FIM], (1 - ABS(Tabela1[% PERNA]) * Tabela1[% STOP] * 10), (1 + ABS(Tabela1[% PERNA]) * Tabela1[% STOP] * 10)), 2)</f>
        <v>3.16</v>
      </c>
      <c r="T4" s="20">
        <f>Tabela1[START] * IF(Tabela1[INICIO] &lt; Tabela1[FIM], (1 + Tabela1[% VOL] / 10 * 1.5 * Tabela1[PER]), (1 - Tabela1[% VOL] / 10 * 1.5 * Tabela1[PER]))</f>
        <v>2.9305559999999997</v>
      </c>
      <c r="U4" s="20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1.22</v>
      </c>
      <c r="V4" s="11">
        <f>ROUNDDOWN(Tabela1[RISCO] / (ABS(Tabela1[START] - Tabela1[STOP])), 0)</f>
        <v>1014</v>
      </c>
      <c r="W4" s="11">
        <f>Tabela1[QTDE TMP] - MOD(Tabela1[QTDE TMP], 100)</f>
        <v>1000</v>
      </c>
      <c r="X4" s="11">
        <f>(Tabela1[PATRIM.] / 3) / Tabela1[START]</f>
        <v>517.79935275080913</v>
      </c>
      <c r="Y4" s="11">
        <f>Tabela1[QTDE MAX TMP] - MOD(Tabela1[QTDE MAX TMP], 100)</f>
        <v>500</v>
      </c>
      <c r="Z4" s="11">
        <f>MIN(Tabela1[[#This Row],[QTDE A]], Tabela1[[#This Row],[QTDE MAX]])</f>
        <v>500</v>
      </c>
      <c r="AA4" s="20">
        <f>Tabela1[QTDE] * Tabela1[START]</f>
        <v>1545</v>
      </c>
      <c r="AB4" s="20">
        <f>ABS(Tabela1[START] - Tabela1[STOP]) * Tabela1[QTDE] + 30</f>
        <v>65.000000000000142</v>
      </c>
      <c r="AC4" s="6">
        <f>Tabela1[QTDE] / 2</f>
        <v>250</v>
      </c>
      <c r="AD4" s="6">
        <f>Tabela1[QTDE PAR TMP] + MOD(Tabela1[QTDE PAR TMP], 100)</f>
        <v>300</v>
      </c>
      <c r="AE4" s="20">
        <f>ABS(Tabela1[PARCIAL] - Tabela1[START]) * Tabela1[QTDE PAR] - 30</f>
        <v>17.833200000000041</v>
      </c>
      <c r="AF4" s="6">
        <f>Tabela1[QTDE] - Tabela1[QTDE PAR]</f>
        <v>200</v>
      </c>
      <c r="AG4" s="20">
        <f>ABS(Tabela1[TGT] - Tabela1[START]) * Tabela1[QTDE ALVO] + Tabela1[LUCRO PAR] - 15</f>
        <v>376.83320000000003</v>
      </c>
      <c r="AH4" s="5">
        <f>Tabela1[LUCRO ALVO] / Tabela1[PERDA]</f>
        <v>5.7974338461538339</v>
      </c>
      <c r="AI4" s="12">
        <f>IF(Tabela1[INICIO] &lt; Tabela1[FIM], Tabela1[START] + ABS(Tabela1[TGT] - Tabela1[START]) * 85%, Tabela1[START] - ABS(Tabela1[TGT] - Tabela1[START]) * 85%)</f>
        <v>1.5004999999999999</v>
      </c>
    </row>
    <row r="5" spans="1:35" x14ac:dyDescent="0.2">
      <c r="A5" s="21" t="s">
        <v>29</v>
      </c>
      <c r="B5" s="14">
        <v>4800</v>
      </c>
      <c r="C5" s="15">
        <v>26</v>
      </c>
      <c r="D5" s="14">
        <v>4.34</v>
      </c>
      <c r="E5" s="14">
        <v>3.18</v>
      </c>
      <c r="F5" s="14">
        <v>0</v>
      </c>
      <c r="G5" s="16">
        <v>2.5000000000000001E-3</v>
      </c>
      <c r="H5" s="16">
        <v>1.6799999999999999E-2</v>
      </c>
      <c r="I5" s="16">
        <v>1.5E-3</v>
      </c>
      <c r="J5" s="16">
        <v>0.34399999999999997</v>
      </c>
      <c r="K5" s="17">
        <v>0.5</v>
      </c>
      <c r="L5" s="10">
        <f>1</f>
        <v>1</v>
      </c>
      <c r="M5" s="2">
        <f>Tabela1[PATRIM.] * (1 - Tabela1[AGE] / 100)</f>
        <v>3552</v>
      </c>
      <c r="N5" s="2">
        <f>IF(Tabela1[BASE RV] &lt; SETUP!$A$2, Tabela1[BASE RV] * SETUP!$B$2, IF(Tabela1[BASE RV] &lt; SETUP!$A$3, Tabela1[BASE RV] * SETUP!$B$3, 0))</f>
        <v>71.040000000000006</v>
      </c>
      <c r="O5" s="2">
        <f>IF(Tabela1[INICIO] &lt; Tabela1[FIM], Tabela1[FIM] - Tabela1[INICIO], Tabela1[INICIO] - Tabela1[FIM])</f>
        <v>1.1599999999999997</v>
      </c>
      <c r="P5" s="4">
        <f>Tabela1[FIM] / Tabela1[INICIO] - 1</f>
        <v>-0.26728110599078336</v>
      </c>
      <c r="Q5" s="12">
        <f>ABS(Tabela1[PERNA] * Tabela1[% IN] + IF(Tabela1[INICIO] &lt; Tabela1[FIM], - Tabela1[FIM], + Tabela1[FIM]))</f>
        <v>3.76</v>
      </c>
      <c r="R5" s="12">
        <f>TRUNC(Tabela1[RETORNO] * IF(Tabela1[INICIO] &lt; Tabela1[FIM], (1 - ABS(Tabela1[% PERNA]) * Tabela1[% START] * 10), (1 + ABS(Tabela1[% PERNA]) * Tabela1[% START] * 10)), 2)</f>
        <v>3.78</v>
      </c>
      <c r="S5" s="20">
        <f>TRUNC(Tabela1[START] * IF(Tabela1[INICIO] &lt; Tabela1[FIM], (1 - ABS(Tabela1[% PERNA]) * Tabela1[% STOP] * 10), (1 + ABS(Tabela1[% PERNA]) * Tabela1[% STOP] * 10)), 2)</f>
        <v>3.94</v>
      </c>
      <c r="T5" s="20">
        <f>Tabela1[START] * IF(Tabela1[INICIO] &lt; Tabela1[FIM], (1 + Tabela1[% VOL] / 10 * 1.5 * Tabela1[PER]), (1 - Tabela1[% VOL] / 10 * 1.5 * Tabela1[PER]))</f>
        <v>3.5849519999999999</v>
      </c>
      <c r="U5" s="20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2.79</v>
      </c>
      <c r="V5" s="11">
        <f>ROUNDDOWN(Tabela1[RISCO] / (ABS(Tabela1[START] - Tabela1[STOP])), 0)</f>
        <v>444</v>
      </c>
      <c r="W5" s="11">
        <f>Tabela1[QTDE TMP] - MOD(Tabela1[QTDE TMP], 100)</f>
        <v>400</v>
      </c>
      <c r="X5" s="11">
        <f>(Tabela1[PATRIM.] / 3) / Tabela1[START]</f>
        <v>423.28042328042329</v>
      </c>
      <c r="Y5" s="11">
        <f>Tabela1[QTDE MAX TMP] - MOD(Tabela1[QTDE MAX TMP], 100)</f>
        <v>400</v>
      </c>
      <c r="Z5" s="11">
        <f>MIN(Tabela1[[#This Row],[QTDE A]], Tabela1[[#This Row],[QTDE MAX]])</f>
        <v>400</v>
      </c>
      <c r="AA5" s="20">
        <f>Tabela1[QTDE] * Tabela1[START]</f>
        <v>1512</v>
      </c>
      <c r="AB5" s="20">
        <f>ABS(Tabela1[START] - Tabela1[STOP]) * Tabela1[QTDE] + 30</f>
        <v>94.000000000000057</v>
      </c>
      <c r="AC5" s="6">
        <f>Tabela1[QTDE] / 2</f>
        <v>200</v>
      </c>
      <c r="AD5" s="6">
        <f>Tabela1[QTDE PAR TMP] + MOD(Tabela1[QTDE PAR TMP], 100)</f>
        <v>200</v>
      </c>
      <c r="AE5" s="20">
        <f>ABS(Tabela1[PARCIAL] - Tabela1[START]) * Tabela1[QTDE PAR] - 30</f>
        <v>9.0095999999999776</v>
      </c>
      <c r="AF5" s="6">
        <f>Tabela1[QTDE] - Tabela1[QTDE PAR]</f>
        <v>200</v>
      </c>
      <c r="AG5" s="20">
        <f>ABS(Tabela1[TGT] - Tabela1[START]) * Tabela1[QTDE ALVO] + Tabela1[LUCRO PAR] - 15</f>
        <v>192.00959999999992</v>
      </c>
      <c r="AH5" s="5">
        <f>Tabela1[LUCRO ALVO] / Tabela1[PERDA]</f>
        <v>2.0426553191489343</v>
      </c>
      <c r="AI5" s="12">
        <f>IF(Tabela1[INICIO] &lt; Tabela1[FIM], Tabela1[START] + ABS(Tabela1[TGT] - Tabela1[START]) * 85%, Tabela1[START] - ABS(Tabela1[TGT] - Tabela1[START]) * 85%)</f>
        <v>2.9384999999999999</v>
      </c>
    </row>
    <row r="6" spans="1:35" x14ac:dyDescent="0.2">
      <c r="A6" s="1" t="s">
        <v>32</v>
      </c>
      <c r="B6" s="2">
        <v>5300</v>
      </c>
      <c r="C6" s="6">
        <v>26</v>
      </c>
      <c r="D6" s="2">
        <v>5.47</v>
      </c>
      <c r="E6" s="2">
        <v>2.09</v>
      </c>
      <c r="F6" s="2">
        <v>0</v>
      </c>
      <c r="G6" s="4">
        <v>2.5000000000000001E-3</v>
      </c>
      <c r="H6" s="4">
        <v>2E-3</v>
      </c>
      <c r="I6" s="4">
        <v>1.5E-3</v>
      </c>
      <c r="J6" s="4">
        <v>0.95760000000000001</v>
      </c>
      <c r="K6" s="3">
        <v>0.33</v>
      </c>
      <c r="L6" s="10">
        <v>2</v>
      </c>
      <c r="M6" s="2">
        <f>Tabela1[PATRIM.] * (1 - Tabela1[AGE] / 100)</f>
        <v>3922</v>
      </c>
      <c r="N6" s="2">
        <f>IF(Tabela1[BASE RV] &lt; SETUP!$A$2, Tabela1[BASE RV] * SETUP!$B$2, IF(Tabela1[BASE RV] &lt; SETUP!$A$3, Tabela1[BASE RV] * SETUP!$B$3, 0))</f>
        <v>78.44</v>
      </c>
      <c r="O6" s="2">
        <f>IF(Tabela1[INICIO] &lt; Tabela1[FIM], Tabela1[FIM] - Tabela1[INICIO], Tabela1[INICIO] - Tabela1[FIM])</f>
        <v>3.38</v>
      </c>
      <c r="P6" s="4">
        <f>Tabela1[FIM] / Tabela1[INICIO] - 1</f>
        <v>-0.61791590493601456</v>
      </c>
      <c r="Q6" s="12">
        <f>ABS(Tabela1[PERNA] * Tabela1[% IN] + IF(Tabela1[INICIO] &lt; Tabela1[FIM], - Tabela1[FIM], + Tabela1[FIM]))</f>
        <v>3.2054</v>
      </c>
      <c r="R6" s="12">
        <f>TRUNC(Tabela1[RETORNO] * IF(Tabela1[INICIO] &lt; Tabela1[FIM], (1 - ABS(Tabela1[% PERNA]) * Tabela1[% START] * 10), (1 + ABS(Tabela1[% PERNA]) * Tabela1[% START] * 10)), 2)</f>
        <v>3.25</v>
      </c>
      <c r="S6" s="20">
        <f>TRUNC(Tabela1[START] * IF(Tabela1[INICIO] &lt; Tabela1[FIM], (1 - ABS(Tabela1[% PERNA]) * Tabela1[% STOP] * 10), (1 + ABS(Tabela1[% PERNA]) * Tabela1[% STOP] * 10)), 2)</f>
        <v>3.29</v>
      </c>
      <c r="T6" s="20">
        <f>Tabela1[START] * IF(Tabela1[INICIO] &lt; Tabela1[FIM], (1 + Tabela1[% VOL] / 10 * 1.5 * Tabela1[PER]), (1 - Tabela1[% VOL] / 10 * 1.5 * Tabela1[PER]))</f>
        <v>2.3163400000000003</v>
      </c>
      <c r="U6" s="20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-0.09</v>
      </c>
      <c r="V6" s="11">
        <f>ROUNDDOWN(Tabela1[RISCO] / (ABS(Tabela1[START] - Tabela1[STOP])), 0)</f>
        <v>1961</v>
      </c>
      <c r="W6" s="11">
        <f>Tabela1[QTDE TMP] - MOD(Tabela1[QTDE TMP], 100)</f>
        <v>1900</v>
      </c>
      <c r="X6" s="11">
        <f>(Tabela1[PATRIM.] / 3) / Tabela1[START]</f>
        <v>543.58974358974365</v>
      </c>
      <c r="Y6" s="11">
        <f>Tabela1[QTDE MAX TMP] - MOD(Tabela1[QTDE MAX TMP], 100)</f>
        <v>500</v>
      </c>
      <c r="Z6" s="11">
        <f>MIN(Tabela1[[#This Row],[QTDE A]], Tabela1[[#This Row],[QTDE MAX]])</f>
        <v>500</v>
      </c>
      <c r="AA6" s="20">
        <f>Tabela1[QTDE] * Tabela1[START]</f>
        <v>1625</v>
      </c>
      <c r="AB6" s="20">
        <f>ABS(Tabela1[START] - Tabela1[STOP]) * Tabela1[QTDE] + 30</f>
        <v>50.000000000000014</v>
      </c>
      <c r="AC6" s="6">
        <f>Tabela1[QTDE] / 2</f>
        <v>250</v>
      </c>
      <c r="AD6" s="6">
        <f>Tabela1[QTDE PAR TMP] + MOD(Tabela1[QTDE PAR TMP], 100)</f>
        <v>300</v>
      </c>
      <c r="AE6" s="20">
        <f>ABS(Tabela1[PARCIAL] - Tabela1[START]) * Tabela1[QTDE PAR] - 30</f>
        <v>250.0979999999999</v>
      </c>
      <c r="AF6" s="6">
        <f>Tabela1[QTDE] - Tabela1[QTDE PAR]</f>
        <v>200</v>
      </c>
      <c r="AG6" s="20">
        <f>ABS(Tabela1[TGT] - Tabela1[START]) * Tabela1[QTDE ALVO] + Tabela1[LUCRO PAR] - 15</f>
        <v>903.09799999999996</v>
      </c>
      <c r="AH6" s="5">
        <f>Tabela1[LUCRO ALVO] / Tabela1[PERDA]</f>
        <v>18.061959999999996</v>
      </c>
      <c r="AI6" s="12">
        <f>IF(Tabela1[INICIO] &lt; Tabela1[FIM], Tabela1[START] + ABS(Tabela1[TGT] - Tabela1[START]) * 85%, Tabela1[START] - ABS(Tabela1[TGT] - Tabela1[START]) * 85%)</f>
        <v>0.41100000000000003</v>
      </c>
    </row>
    <row r="7" spans="1:35" x14ac:dyDescent="0.2">
      <c r="A7" s="1" t="s">
        <v>54</v>
      </c>
      <c r="B7" s="2">
        <v>5300</v>
      </c>
      <c r="C7" s="6">
        <v>26</v>
      </c>
      <c r="D7" s="2">
        <v>7.62</v>
      </c>
      <c r="E7" s="2">
        <v>9.0399999999999991</v>
      </c>
      <c r="F7" s="2">
        <v>11.56</v>
      </c>
      <c r="G7" s="4">
        <v>2.5000000000000001E-3</v>
      </c>
      <c r="H7" s="4">
        <v>2E-3</v>
      </c>
      <c r="I7" s="4">
        <v>1.5E-3</v>
      </c>
      <c r="J7" s="4">
        <v>0.37480000000000002</v>
      </c>
      <c r="K7" s="3">
        <v>0.33</v>
      </c>
      <c r="L7" s="34">
        <v>2</v>
      </c>
      <c r="M7" s="2">
        <f>Tabela1[PATRIM.] * (1 - Tabela1[AGE] / 100)</f>
        <v>3922</v>
      </c>
      <c r="N7" s="2">
        <f>IF(Tabela1[BASE RV] &lt; SETUP!$A$2, Tabela1[BASE RV] * SETUP!$B$2, IF(Tabela1[BASE RV] &lt; SETUP!$A$3, Tabela1[BASE RV] * SETUP!$B$3, 0))</f>
        <v>78.44</v>
      </c>
      <c r="O7" s="2">
        <f>IF(Tabela1[INICIO] &lt; Tabela1[FIM], Tabela1[FIM] - Tabela1[INICIO], Tabela1[INICIO] - Tabela1[FIM])</f>
        <v>1.419999999999999</v>
      </c>
      <c r="P7" s="4">
        <f>Tabela1[FIM] / Tabela1[INICIO] - 1</f>
        <v>0.18635170603674522</v>
      </c>
      <c r="Q7" s="12">
        <f>ABS(Tabela1[PERNA] * Tabela1[% IN] + IF(Tabela1[INICIO] &lt; Tabela1[FIM], - Tabela1[FIM], + Tabela1[FIM]))</f>
        <v>8.5713999999999988</v>
      </c>
      <c r="R7" s="12">
        <f>TRUNC(Tabela1[RETORNO] * IF(Tabela1[INICIO] &lt; Tabela1[FIM], (1 - ABS(Tabela1[% PERNA]) * Tabela1[% START] * 10), (1 + ABS(Tabela1[% PERNA]) * Tabela1[% START] * 10)), 2)</f>
        <v>8.5299999999999994</v>
      </c>
      <c r="S7" s="20">
        <f>TRUNC(Tabela1[START] * IF(Tabela1[INICIO] &lt; Tabela1[FIM], (1 - ABS(Tabela1[% PERNA]) * Tabela1[% STOP] * 10), (1 + ABS(Tabela1[% PERNA]) * Tabela1[% STOP] * 10)), 2)</f>
        <v>8.49</v>
      </c>
      <c r="T7" s="20">
        <f>Tabela1[START] * IF(Tabela1[INICIO] &lt; Tabela1[FIM], (1 + Tabela1[% VOL] / 10 * 1.5 * Tabela1[PER]), (1 - Tabela1[% VOL] / 10 * 1.5 * Tabela1[PER]))</f>
        <v>9.4891132000000002</v>
      </c>
      <c r="U7" s="20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11.56</v>
      </c>
      <c r="V7" s="11">
        <f>ROUNDDOWN(Tabela1[RISCO] / (ABS(Tabela1[START] - Tabela1[STOP])), 0)</f>
        <v>1961</v>
      </c>
      <c r="W7" s="11">
        <f>Tabela1[QTDE TMP] - MOD(Tabela1[QTDE TMP], 100)</f>
        <v>1900</v>
      </c>
      <c r="X7" s="11">
        <f>(Tabela1[PATRIM.] / 3) / Tabela1[START]</f>
        <v>207.11215318483787</v>
      </c>
      <c r="Y7" s="11">
        <f>Tabela1[QTDE MAX TMP] - MOD(Tabela1[QTDE MAX TMP], 100)</f>
        <v>200</v>
      </c>
      <c r="Z7" s="11">
        <f>MIN(Tabela1[[#This Row],[QTDE A]], Tabela1[[#This Row],[QTDE MAX]])</f>
        <v>200</v>
      </c>
      <c r="AA7" s="20">
        <f>Tabela1[QTDE] * Tabela1[START]</f>
        <v>1705.9999999999998</v>
      </c>
      <c r="AB7" s="20">
        <f>ABS(Tabela1[START] - Tabela1[STOP]) * Tabela1[QTDE] + 30</f>
        <v>37.999999999999829</v>
      </c>
      <c r="AC7" s="6">
        <f>Tabela1[QTDE] / 2</f>
        <v>100</v>
      </c>
      <c r="AD7" s="6">
        <f>Tabela1[QTDE PAR TMP] + MOD(Tabela1[QTDE PAR TMP], 100)</f>
        <v>100</v>
      </c>
      <c r="AE7" s="20">
        <f>ABS(Tabela1[PARCIAL] - Tabela1[START]) * Tabela1[QTDE PAR] - 30</f>
        <v>65.911320000000089</v>
      </c>
      <c r="AF7" s="6">
        <f>Tabela1[QTDE] - Tabela1[QTDE PAR]</f>
        <v>100</v>
      </c>
      <c r="AG7" s="20">
        <f>ABS(Tabela1[TGT] - Tabela1[START]) * Tabela1[QTDE ALVO] + Tabela1[LUCRO PAR] - 15</f>
        <v>353.91132000000022</v>
      </c>
      <c r="AH7" s="5">
        <f>Tabela1[LUCRO ALVO] / Tabela1[PERDA]</f>
        <v>9.313455789473732</v>
      </c>
      <c r="AI7" s="12">
        <f>IF(Tabela1[INICIO] &lt; Tabela1[FIM], Tabela1[START] + ABS(Tabela1[TGT] - Tabela1[START]) * 85%, Tabela1[START] - ABS(Tabela1[TGT] - Tabela1[START]) * 85%)</f>
        <v>11.105499999999999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L6" calculatedColumn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"/>
  <sheetViews>
    <sheetView workbookViewId="0">
      <selection activeCell="E4" sqref="E4"/>
    </sheetView>
  </sheetViews>
  <sheetFormatPr defaultRowHeight="11.25" x14ac:dyDescent="0.2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8" width="7.7109375" style="4" bestFit="1" customWidth="1"/>
    <col min="9" max="9" width="7.42578125" style="1" bestFit="1" customWidth="1"/>
    <col min="10" max="10" width="5.7109375" style="1" bestFit="1" customWidth="1"/>
    <col min="11" max="11" width="9.85546875" style="2" hidden="1" customWidth="1"/>
    <col min="12" max="12" width="9.28515625" style="1" hidden="1" customWidth="1"/>
    <col min="13" max="13" width="8" style="1" hidden="1" customWidth="1"/>
    <col min="14" max="14" width="9.140625" style="1" hidden="1" customWidth="1"/>
    <col min="15" max="15" width="7.7109375" style="11" bestFit="1" customWidth="1"/>
    <col min="16" max="16" width="7.42578125" style="11" bestFit="1" customWidth="1"/>
    <col min="17" max="17" width="9.85546875" style="1" bestFit="1" customWidth="1"/>
    <col min="18" max="18" width="7.7109375" style="1" bestFit="1" customWidth="1"/>
    <col min="19" max="19" width="10.140625" style="11" hidden="1" customWidth="1"/>
    <col min="20" max="20" width="6.85546875" style="1" bestFit="1" customWidth="1"/>
    <col min="21" max="21" width="9.85546875" style="1" bestFit="1" customWidth="1"/>
    <col min="22" max="22" width="7.7109375" style="11" bestFit="1" customWidth="1"/>
    <col min="23" max="23" width="10.7109375" style="1" hidden="1" customWidth="1"/>
    <col min="24" max="24" width="11.5703125" style="9" hidden="1" customWidth="1"/>
    <col min="25" max="25" width="10.7109375" style="2" bestFit="1" customWidth="1"/>
    <col min="26" max="26" width="0" style="1" hidden="1" customWidth="1"/>
    <col min="27" max="27" width="11.7109375" style="1" bestFit="1" customWidth="1"/>
    <col min="28" max="28" width="8.42578125" style="1" bestFit="1" customWidth="1"/>
    <col min="29" max="29" width="7.7109375" style="1" bestFit="1" customWidth="1"/>
    <col min="30" max="16384" width="9.140625" style="1"/>
  </cols>
  <sheetData>
    <row r="1" spans="1:29" x14ac:dyDescent="0.2">
      <c r="A1" s="18" t="s">
        <v>27</v>
      </c>
      <c r="B1" s="1" t="s">
        <v>33</v>
      </c>
      <c r="C1" s="1" t="s">
        <v>34</v>
      </c>
      <c r="D1" s="1" t="s">
        <v>0</v>
      </c>
      <c r="E1" s="1" t="s">
        <v>36</v>
      </c>
      <c r="F1" s="1" t="s">
        <v>1</v>
      </c>
      <c r="G1" s="1" t="s">
        <v>38</v>
      </c>
      <c r="H1" s="1" t="s">
        <v>37</v>
      </c>
      <c r="I1" s="4" t="s">
        <v>35</v>
      </c>
      <c r="J1" s="10" t="s">
        <v>23</v>
      </c>
      <c r="K1" s="1" t="s">
        <v>4</v>
      </c>
      <c r="L1" s="1" t="s">
        <v>5</v>
      </c>
      <c r="M1" s="1" t="s">
        <v>2</v>
      </c>
      <c r="N1" s="1" t="s">
        <v>3</v>
      </c>
      <c r="O1" s="2" t="s">
        <v>9</v>
      </c>
      <c r="P1" s="2" t="s">
        <v>10</v>
      </c>
      <c r="Q1" s="2" t="s">
        <v>11</v>
      </c>
      <c r="R1" s="2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19</v>
      </c>
      <c r="X1" s="6" t="s">
        <v>20</v>
      </c>
      <c r="Y1" s="6" t="s">
        <v>17</v>
      </c>
      <c r="Z1" s="6" t="s">
        <v>21</v>
      </c>
      <c r="AA1" s="6" t="s">
        <v>18</v>
      </c>
      <c r="AB1" s="5" t="s">
        <v>22</v>
      </c>
      <c r="AC1" s="13" t="s">
        <v>25</v>
      </c>
    </row>
    <row r="2" spans="1:29" x14ac:dyDescent="0.2">
      <c r="A2" s="2" t="s">
        <v>31</v>
      </c>
      <c r="B2" s="2">
        <v>5173.08</v>
      </c>
      <c r="C2" s="6">
        <v>26</v>
      </c>
      <c r="D2" s="2">
        <v>8.6999999999999993</v>
      </c>
      <c r="E2" s="2">
        <v>5.07</v>
      </c>
      <c r="F2" s="2">
        <v>6.24</v>
      </c>
      <c r="G2" s="2">
        <v>5.09</v>
      </c>
      <c r="H2" s="2">
        <v>4.87</v>
      </c>
      <c r="I2" s="4">
        <v>0.97489999999999999</v>
      </c>
      <c r="J2" s="10">
        <f>1</f>
        <v>1</v>
      </c>
      <c r="K2" s="2">
        <f>Tabela13[PATRIM.] * (1 - Tabela13[AGE] / 100)</f>
        <v>3828.0791999999997</v>
      </c>
      <c r="L2" s="2">
        <f>IF(Tabela13[BASE RV] &lt; SETUP!$A$2, Tabela13[BASE RV] * SETUP!$B$2, IF(Tabela13[BASE RV] &lt; SETUP!$A$3, Tabela13[BASE RV] * SETUP!$B$3, 0))</f>
        <v>76.561583999999996</v>
      </c>
      <c r="M2" s="2">
        <f>IF(Tabela13[INICIO] &lt; Tabela13[MEIO], Tabela13[MEIO] - Tabela13[INICIO], Tabela13[INICIO] - Tabela13[MEIO])</f>
        <v>3.629999999999999</v>
      </c>
      <c r="N2" s="4">
        <f>Tabela13[MEIO] / Tabela13[INICIO] - 1</f>
        <v>-0.41724137931034477</v>
      </c>
      <c r="O2" s="2">
        <f>IF(Tabela13[INICIO] &lt; Tabela13[MEIO], Tabela13[CDL H] + 0.02, Tabela13[CDL L] - 0.02)</f>
        <v>4.8500000000000005</v>
      </c>
      <c r="P2" s="2">
        <f>IF(Tabela13[INICIO] &lt; Tabela13[MEIO], Tabela13[CDL L] - 0.02, Tabela13[CDL H] + 0.02)</f>
        <v>5.1099999999999994</v>
      </c>
      <c r="Q2" s="2">
        <f>Tabela13[START] * IF(Tabela13[INICIO] &lt; Tabela13[MEIO], (1 + Tabela13[% VOL] / 10 * 1.5 * Tabela13[PER]), (1 - Tabela13[% VOL] / 10 * 1.5 * Tabela13[PER]))</f>
        <v>4.1407602500000005</v>
      </c>
      <c r="R2" s="2">
        <f>IF(Tabela13[INICIO] &lt; Tabela13[MEIO],  Tabela13[FIM] + (Tabela13[MEIO] - Tabela13[INICIO]), Tabela13[FIM] - (Tabela13[INICIO] - Tabela13[MEIO]))</f>
        <v>2.6100000000000012</v>
      </c>
      <c r="S2" s="6">
        <f>ROUNDDOWN(Tabela13[RISCO] / (ABS(Tabela13[CDL H] - Tabela13[CDL L])), 0)</f>
        <v>348</v>
      </c>
      <c r="T2" s="6">
        <f>Tabela13[QTDE TMP] - MOD(Tabela13[QTDE TMP], 100)</f>
        <v>300</v>
      </c>
      <c r="U2" s="12">
        <f>Tabela13[QTDE] * Tabela13[START]</f>
        <v>1455.0000000000002</v>
      </c>
      <c r="V2" s="12">
        <f>ABS(Tabela13[START] - Tabela13[STOP]) * Tabela13[QTDE]</f>
        <v>77.999999999999673</v>
      </c>
      <c r="W2" s="6">
        <f>Tabela13[QTDE] / 2</f>
        <v>150</v>
      </c>
      <c r="X2" s="6">
        <f>Tabela13[QTDE PAR TMP] + MOD(Tabela13[QTDE PAR TMP], 100)</f>
        <v>200</v>
      </c>
      <c r="Y2" s="12">
        <f>ABS(Tabela13[PARCIAL] - Tabela13[START]) * Tabela13[QTDE PAR]</f>
        <v>141.84795000000003</v>
      </c>
      <c r="Z2" s="6">
        <f>Tabela13[QTDE] - Tabela13[QTDE PAR]</f>
        <v>100</v>
      </c>
      <c r="AA2" s="12">
        <f>ABS(Tabela13[TGT] - Tabela13[START]) * Tabela13[QTDE ALVO] + Tabela13[LUCRO PAR]</f>
        <v>365.84794999999997</v>
      </c>
      <c r="AB2" s="5">
        <f>Tabela13[LUCRO ALVO] / Tabela13[PERDA]</f>
        <v>4.6903583333333527</v>
      </c>
      <c r="AC2" s="2">
        <f>IF(Tabela13[INICIO] &lt; Tabela13[MEIO], Tabela13[START] + ABS(Tabela13[TGT] - Tabela13[START]) * 85%, Tabela13[START] - ABS(Tabela13[TGT] - Tabela13[START]) * 85%)</f>
        <v>2.9460000000000011</v>
      </c>
    </row>
    <row r="3" spans="1:29" x14ac:dyDescent="0.2">
      <c r="A3" s="2" t="s">
        <v>39</v>
      </c>
      <c r="B3" s="2">
        <v>5173.08</v>
      </c>
      <c r="C3" s="6">
        <v>26</v>
      </c>
      <c r="D3" s="2">
        <v>29.37</v>
      </c>
      <c r="E3" s="2">
        <v>22.56</v>
      </c>
      <c r="F3" s="2">
        <v>22.56</v>
      </c>
      <c r="G3" s="2">
        <v>19.53</v>
      </c>
      <c r="H3" s="2">
        <v>19.28</v>
      </c>
      <c r="I3" s="4">
        <v>0.42199999999999999</v>
      </c>
      <c r="J3" s="10">
        <f>1</f>
        <v>1</v>
      </c>
      <c r="K3" s="2">
        <f>Tabela13[PATRIM.] * (1 - Tabela13[AGE] / 100)</f>
        <v>3828.0791999999997</v>
      </c>
      <c r="L3" s="2">
        <f>IF(Tabela13[BASE RV] &lt; SETUP!$A$2, Tabela13[BASE RV] * SETUP!$B$2, IF(Tabela13[BASE RV] &lt; SETUP!$A$3, Tabela13[BASE RV] * SETUP!$B$3, 0))</f>
        <v>76.561583999999996</v>
      </c>
      <c r="M3" s="2">
        <f>IF(Tabela13[INICIO] &lt; Tabela13[MEIO], Tabela13[MEIO] - Tabela13[INICIO], Tabela13[INICIO] - Tabela13[MEIO])</f>
        <v>6.8100000000000023</v>
      </c>
      <c r="N3" s="4">
        <f>Tabela13[MEIO] / Tabela13[INICIO] - 1</f>
        <v>-0.23186925434116457</v>
      </c>
      <c r="O3" s="2">
        <f>IF(Tabela13[INICIO] &lt; Tabela13[MEIO], Tabela13[CDL H] + 0.02, Tabela13[CDL L] - 0.02)</f>
        <v>19.260000000000002</v>
      </c>
      <c r="P3" s="2">
        <f>IF(Tabela13[INICIO] &lt; Tabela13[MEIO], Tabela13[CDL L] - 0.02, Tabela13[CDL H] + 0.02)</f>
        <v>19.55</v>
      </c>
      <c r="Q3" s="2">
        <f>Tabela13[START] * IF(Tabela13[INICIO] &lt; Tabela13[MEIO], (1 + Tabela13[% VOL] / 10 * 1.5 * Tabela13[PER]), (1 - Tabela13[% VOL] / 10 * 1.5 * Tabela13[PER]))</f>
        <v>18.040842000000001</v>
      </c>
      <c r="R3" s="2">
        <f>IF(Tabela13[INICIO] &lt; Tabela13[MEIO],  Tabela13[FIM] + (Tabela13[MEIO] - Tabela13[INICIO]), Tabela13[FIM] - (Tabela13[INICIO] - Tabela13[MEIO]))</f>
        <v>15.749999999999996</v>
      </c>
      <c r="S3" s="6">
        <f>ROUNDDOWN(Tabela13[RISCO] / (ABS(Tabela13[CDL H] - Tabela13[CDL L])), 0)</f>
        <v>306</v>
      </c>
      <c r="T3" s="6">
        <f>Tabela13[QTDE TMP] - MOD(Tabela13[QTDE TMP], 100)</f>
        <v>300</v>
      </c>
      <c r="U3" s="12">
        <f>Tabela13[QTDE] * Tabela13[START]</f>
        <v>5778.0000000000009</v>
      </c>
      <c r="V3" s="12">
        <f>ABS(Tabela13[START] - Tabela13[STOP]) * Tabela13[QTDE]</f>
        <v>86.999999999999744</v>
      </c>
      <c r="W3" s="6">
        <f>Tabela13[QTDE] / 2</f>
        <v>150</v>
      </c>
      <c r="X3" s="6">
        <f>Tabela13[QTDE PAR TMP] + MOD(Tabela13[QTDE PAR TMP], 100)</f>
        <v>200</v>
      </c>
      <c r="Y3" s="12">
        <f>ABS(Tabela13[PARCIAL] - Tabela13[START]) * Tabela13[QTDE PAR]</f>
        <v>243.83160000000004</v>
      </c>
      <c r="Z3" s="6">
        <f>Tabela13[QTDE] - Tabela13[QTDE PAR]</f>
        <v>100</v>
      </c>
      <c r="AA3" s="12">
        <f>ABS(Tabela13[TGT] - Tabela13[START]) * Tabela13[QTDE ALVO] + Tabela13[LUCRO PAR]</f>
        <v>594.83160000000055</v>
      </c>
      <c r="AB3" s="5">
        <f>Tabela13[LUCRO ALVO] / Tabela13[PERDA]</f>
        <v>6.8371448275862337</v>
      </c>
      <c r="AC3" s="13">
        <f>IF(Tabela13[INICIO] &lt; Tabela13[MEIO], Tabela13[START] + ABS(Tabela13[TGT] - Tabela13[START]) * 85%, Tabela13[START] - ABS(Tabela13[TGT] - Tabela13[START]) * 85%)</f>
        <v>16.276499999999999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7" sqref="D7"/>
    </sheetView>
  </sheetViews>
  <sheetFormatPr defaultRowHeight="11.25" x14ac:dyDescent="0.2"/>
  <cols>
    <col min="1" max="1" width="12.85546875" style="2" bestFit="1" customWidth="1"/>
    <col min="2" max="2" width="6.28515625" style="4" bestFit="1" customWidth="1"/>
    <col min="3" max="3" width="9.85546875" style="1" bestFit="1" customWidth="1"/>
    <col min="4" max="16384" width="9.140625" style="1"/>
  </cols>
  <sheetData>
    <row r="1" spans="1:3" x14ac:dyDescent="0.2">
      <c r="A1" s="7" t="s">
        <v>5</v>
      </c>
      <c r="B1" s="8" t="s">
        <v>6</v>
      </c>
    </row>
    <row r="2" spans="1:3" x14ac:dyDescent="0.2">
      <c r="A2" s="2">
        <v>10000</v>
      </c>
      <c r="B2" s="4">
        <v>0.02</v>
      </c>
      <c r="C2" s="2">
        <f>A2*B2</f>
        <v>200</v>
      </c>
    </row>
    <row r="3" spans="1:3" x14ac:dyDescent="0.2">
      <c r="A3" s="2">
        <v>20000</v>
      </c>
      <c r="B3" s="4">
        <v>1.4999999999999999E-2</v>
      </c>
      <c r="C3" s="2">
        <f t="shared" ref="C3:C7" si="0">A3*B3</f>
        <v>300</v>
      </c>
    </row>
    <row r="4" spans="1:3" x14ac:dyDescent="0.2">
      <c r="A4" s="2">
        <v>50000</v>
      </c>
      <c r="B4" s="4">
        <v>0.01</v>
      </c>
      <c r="C4" s="2">
        <f t="shared" si="0"/>
        <v>500</v>
      </c>
    </row>
    <row r="5" spans="1:3" x14ac:dyDescent="0.2">
      <c r="A5" s="2">
        <v>100000</v>
      </c>
      <c r="B5" s="4">
        <v>7.4999999999999997E-3</v>
      </c>
      <c r="C5" s="2">
        <f t="shared" si="0"/>
        <v>750</v>
      </c>
    </row>
    <row r="6" spans="1:3" x14ac:dyDescent="0.2">
      <c r="A6" s="2">
        <v>500000</v>
      </c>
      <c r="B6" s="4">
        <v>5.0000000000000001E-3</v>
      </c>
      <c r="C6" s="2">
        <f t="shared" si="0"/>
        <v>2500</v>
      </c>
    </row>
    <row r="7" spans="1:3" x14ac:dyDescent="0.2">
      <c r="A7" s="2">
        <v>1000000</v>
      </c>
      <c r="B7" s="4">
        <v>2.5000000000000001E-3</v>
      </c>
      <c r="C7" s="2">
        <f t="shared" si="0"/>
        <v>2500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D7" sqref="D7"/>
    </sheetView>
  </sheetViews>
  <sheetFormatPr defaultRowHeight="11.25" x14ac:dyDescent="0.2"/>
  <cols>
    <col min="1" max="3" width="9.140625" style="1"/>
    <col min="4" max="4" width="13.140625" style="1" customWidth="1"/>
    <col min="5" max="5" width="7.7109375" style="1" hidden="1" customWidth="1"/>
    <col min="6" max="8" width="6.85546875" style="1" hidden="1" customWidth="1"/>
    <col min="9" max="11" width="8.5703125" style="1" hidden="1" customWidth="1"/>
    <col min="12" max="12" width="9.140625" style="1" hidden="1" customWidth="1"/>
    <col min="13" max="13" width="11.140625" style="1" bestFit="1" customWidth="1"/>
    <col min="14" max="14" width="10.85546875" style="1" bestFit="1" customWidth="1"/>
    <col min="15" max="16384" width="9.140625" style="1"/>
  </cols>
  <sheetData>
    <row r="1" spans="1:14" x14ac:dyDescent="0.2">
      <c r="A1" s="1" t="s">
        <v>27</v>
      </c>
      <c r="B1" s="1" t="s">
        <v>0</v>
      </c>
      <c r="C1" s="1" t="s">
        <v>1</v>
      </c>
      <c r="D1" s="1" t="s">
        <v>41</v>
      </c>
      <c r="E1" s="1" t="s">
        <v>2</v>
      </c>
      <c r="F1" s="22" t="s">
        <v>43</v>
      </c>
      <c r="G1" s="22" t="s">
        <v>44</v>
      </c>
      <c r="H1" s="22" t="s">
        <v>45</v>
      </c>
      <c r="I1" s="22" t="s">
        <v>46</v>
      </c>
      <c r="J1" s="22" t="s">
        <v>48</v>
      </c>
      <c r="K1" s="22" t="s">
        <v>47</v>
      </c>
      <c r="L1" s="22" t="s">
        <v>3</v>
      </c>
      <c r="M1" s="1" t="s">
        <v>42</v>
      </c>
      <c r="N1" s="1" t="s">
        <v>49</v>
      </c>
    </row>
    <row r="2" spans="1:14" x14ac:dyDescent="0.2">
      <c r="A2" s="1" t="s">
        <v>40</v>
      </c>
      <c r="B2" s="2">
        <v>2.74</v>
      </c>
      <c r="C2" s="2">
        <v>2.2799999999999998</v>
      </c>
      <c r="D2" s="2">
        <v>2.54</v>
      </c>
      <c r="E2" s="2">
        <f>Tabela3[INICIO]-Tabela3[FIM]</f>
        <v>0.46000000000000041</v>
      </c>
      <c r="F2" s="2">
        <f>ROUND(Tabela3[PERNA] * 33%, 2) + Tabela3[FIM]</f>
        <v>2.4299999999999997</v>
      </c>
      <c r="G2" s="2">
        <f>ROUND(Tabela3[PERNA] * 50%, 2) + Tabela3[FIM]</f>
        <v>2.5099999999999998</v>
      </c>
      <c r="H2" s="2">
        <f>ROUND(Tabela3[PERNA] * 60%, 2) + Tabela3[FIM]</f>
        <v>2.5599999999999996</v>
      </c>
      <c r="I2" s="4">
        <f>Tabela3[INFLEXAO MAX]/Tabela3[33%] - 1</f>
        <v>4.5267489711934283E-2</v>
      </c>
      <c r="J2" s="4">
        <f>Tabela3[INFLEXAO MAX]/Tabela3[50%] - 1</f>
        <v>1.195219123505975E-2</v>
      </c>
      <c r="K2" s="4">
        <f>Tabela3[INFLEXAO MAX]/Tabela3[60%] - 1</f>
        <v>-7.812499999999889E-3</v>
      </c>
      <c r="L2" s="4">
        <f>1 - Tabela3[FIM]/Tabela3[INICIO]</f>
        <v>0.16788321167883224</v>
      </c>
      <c r="M2" s="4">
        <f t="array" ref="M2">MIN(IF(Tabela3[[#This Row],[DIF 33%]:[DIF 60%]] &gt; 0, Tabela3[[#This Row],[DIF 33%]:[DIF 60%]]))</f>
        <v>1.195219123505975E-2</v>
      </c>
      <c r="N2" s="4">
        <f>10% * Tabela3[% INFLEXÃO] / Tabela3[% PERNA]</f>
        <v>7.1193486921877595E-3</v>
      </c>
    </row>
    <row r="3" spans="1:14" x14ac:dyDescent="0.2">
      <c r="A3" s="1" t="s">
        <v>40</v>
      </c>
      <c r="B3" s="2">
        <v>3.23</v>
      </c>
      <c r="C3" s="2">
        <v>2.42</v>
      </c>
      <c r="D3" s="2">
        <v>2.74</v>
      </c>
      <c r="E3" s="2">
        <f>Tabela3[INICIO]-Tabela3[FIM]</f>
        <v>0.81</v>
      </c>
      <c r="F3" s="2">
        <f>ROUND(Tabela3[PERNA] * 33%, 2) + Tabela3[FIM]</f>
        <v>2.69</v>
      </c>
      <c r="G3" s="2">
        <f>ROUND(Tabela3[PERNA] * 50%, 2) + Tabela3[FIM]</f>
        <v>2.83</v>
      </c>
      <c r="H3" s="2">
        <f>ROUND(Tabela3[PERNA] * 60%, 2) + Tabela3[FIM]</f>
        <v>2.91</v>
      </c>
      <c r="I3" s="4">
        <f>Tabela3[INFLEXAO MAX]/Tabela3[33%] - 1</f>
        <v>1.858736059479571E-2</v>
      </c>
      <c r="J3" s="4">
        <f>Tabela3[INFLEXAO MAX]/Tabela3[50%] - 1</f>
        <v>-3.180212014134276E-2</v>
      </c>
      <c r="K3" s="4">
        <f>Tabela3[INFLEXAO MAX]/Tabela3[60%] - 1</f>
        <v>-5.841924398625431E-2</v>
      </c>
      <c r="L3" s="4">
        <f>1 - Tabela3[FIM]/Tabela3[INICIO]</f>
        <v>0.25077399380804954</v>
      </c>
      <c r="M3" s="4">
        <f t="array" ref="M3">MIN(IF(Tabela3[[#This Row],[DIF 33%]:[DIF 60%]] &gt; 0, Tabela3[[#This Row],[DIF 33%]:[DIF 60%]]))</f>
        <v>1.858736059479571E-2</v>
      </c>
      <c r="N3" s="4">
        <f>10% * Tabela3[% INFLEXÃO] / Tabela3[% PERNA]</f>
        <v>7.4119968791592772E-3</v>
      </c>
    </row>
    <row r="4" spans="1:14" x14ac:dyDescent="0.2">
      <c r="A4" s="1" t="s">
        <v>29</v>
      </c>
      <c r="B4" s="2">
        <v>5.47</v>
      </c>
      <c r="C4" s="2">
        <v>3.39</v>
      </c>
      <c r="D4" s="2">
        <v>4.34</v>
      </c>
      <c r="E4" s="2">
        <f>Tabela3[INICIO]-Tabela3[FIM]</f>
        <v>2.0799999999999996</v>
      </c>
      <c r="F4" s="2">
        <f>ROUND(Tabela3[PERNA] * 33%, 2) + Tabela3[FIM]</f>
        <v>4.08</v>
      </c>
      <c r="G4" s="2">
        <f>ROUND(Tabela3[PERNA] * 50%, 2) + Tabela3[FIM]</f>
        <v>4.43</v>
      </c>
      <c r="H4" s="2">
        <f>ROUND(Tabela3[PERNA] * 60%, 2) + Tabela3[FIM]</f>
        <v>4.6400000000000006</v>
      </c>
      <c r="I4" s="4">
        <f>Tabela3[INFLEXAO MAX]/Tabela3[33%] - 1</f>
        <v>6.3725490196078427E-2</v>
      </c>
      <c r="J4" s="4">
        <f>Tabela3[INFLEXAO MAX]/Tabela3[50%] - 1</f>
        <v>-2.0316027088036037E-2</v>
      </c>
      <c r="K4" s="4">
        <f>Tabela3[INFLEXAO MAX]/Tabela3[60%] - 1</f>
        <v>-6.465517241379326E-2</v>
      </c>
      <c r="L4" s="4">
        <f>1 - Tabela3[FIM]/Tabela3[INICIO]</f>
        <v>0.38025594149908593</v>
      </c>
      <c r="M4" s="4">
        <f t="array" ref="M4">MIN(IF(Tabela3[[#This Row],[DIF 33%]:[DIF 60%]] &gt; 0, Tabela3[[#This Row],[DIF 33%]:[DIF 60%]]))</f>
        <v>6.3725490196078427E-2</v>
      </c>
      <c r="N4" s="4">
        <f>10% * Tabela3[% INFLEXÃO] / Tabela3[% PERNA]</f>
        <v>1.6758578431372548E-2</v>
      </c>
    </row>
    <row r="5" spans="1:14" x14ac:dyDescent="0.2">
      <c r="A5" s="1" t="s">
        <v>31</v>
      </c>
      <c r="B5" s="2">
        <v>8.6999999999999993</v>
      </c>
      <c r="C5" s="2">
        <v>5.07</v>
      </c>
      <c r="D5" s="2"/>
      <c r="E5" s="2">
        <f>Tabela3[INICIO]-Tabela3[FIM]</f>
        <v>3.629999999999999</v>
      </c>
      <c r="F5" s="2">
        <f>ROUND(Tabela3[PERNA] * 33%, 2) + Tabela3[FIM]</f>
        <v>6.2700000000000005</v>
      </c>
      <c r="G5" s="2">
        <f>ROUND(Tabela3[PERNA] * 50%, 2) + Tabela3[FIM]</f>
        <v>6.8900000000000006</v>
      </c>
      <c r="H5" s="2">
        <f>ROUND(Tabela3[PERNA] * 60%, 2) + Tabela3[FIM]</f>
        <v>7.25</v>
      </c>
      <c r="I5" s="4">
        <f>Tabela3[INFLEXAO MAX]/Tabela3[33%] - 1</f>
        <v>-1</v>
      </c>
      <c r="J5" s="4">
        <f>Tabela3[INFLEXAO MAX]/Tabela3[50%] - 1</f>
        <v>-1</v>
      </c>
      <c r="K5" s="4">
        <f>Tabela3[INFLEXAO MAX]/Tabela3[60%] - 1</f>
        <v>-1</v>
      </c>
      <c r="L5" s="4">
        <f>1 - Tabela3[FIM]/Tabela3[INICIO]</f>
        <v>0.41724137931034477</v>
      </c>
      <c r="M5" s="4">
        <f t="array" ref="M5">MIN(IF(Tabela3[[#This Row],[DIF 33%]:[DIF 60%]] &gt; 0, Tabela3[[#This Row],[DIF 33%]:[DIF 60%]]))</f>
        <v>0</v>
      </c>
      <c r="N5" s="4">
        <f>10% * Tabela3[% INFLEXÃO] / Tabela3[% PERNA]</f>
        <v>0</v>
      </c>
    </row>
    <row r="6" spans="1:14" x14ac:dyDescent="0.2">
      <c r="A6" s="23" t="s">
        <v>50</v>
      </c>
      <c r="B6" s="24">
        <v>8.52</v>
      </c>
      <c r="C6" s="24">
        <v>6.31</v>
      </c>
      <c r="D6" s="24">
        <v>7.49</v>
      </c>
      <c r="E6" s="24">
        <f>Tabela3[INICIO]-Tabela3[FIM]</f>
        <v>2.21</v>
      </c>
      <c r="F6" s="24">
        <f>ROUND(Tabela3[PERNA] * 33%, 2) + Tabela3[FIM]</f>
        <v>7.0399999999999991</v>
      </c>
      <c r="G6" s="24">
        <f>ROUND(Tabela3[PERNA] * 50%, 2) + Tabela3[FIM]</f>
        <v>7.42</v>
      </c>
      <c r="H6" s="24">
        <f>ROUND(Tabela3[PERNA] * 60%, 2) + Tabela3[FIM]</f>
        <v>7.64</v>
      </c>
      <c r="I6" s="25">
        <f>Tabela3[INFLEXAO MAX]/Tabela3[33%] - 1</f>
        <v>6.3920454545454808E-2</v>
      </c>
      <c r="J6" s="25">
        <f>Tabela3[INFLEXAO MAX]/Tabela3[50%] - 1</f>
        <v>9.4339622641510523E-3</v>
      </c>
      <c r="K6" s="25">
        <f>Tabela3[INFLEXAO MAX]/Tabela3[60%] - 1</f>
        <v>-1.963350785340312E-2</v>
      </c>
      <c r="L6" s="25">
        <f>1 - Tabela3[FIM]/Tabela3[INICIO]</f>
        <v>0.25938967136150237</v>
      </c>
      <c r="M6" s="25">
        <f t="array" ref="M6">MIN(IF(Tabela3[[#This Row],[DIF 33%]:[DIF 60%]] &gt; 0, Tabela3[[#This Row],[DIF 33%]:[DIF 60%]]))</f>
        <v>9.4339622641510523E-3</v>
      </c>
      <c r="N6" s="25">
        <f>10% * Tabela3[% INFLEXÃO] / Tabela3[% PERNA]</f>
        <v>3.6369845470844782E-3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WTSa</vt:lpstr>
      <vt:lpstr>WTS</vt:lpstr>
      <vt:lpstr>SETUP</vt:lpstr>
      <vt:lpstr>SOMBRA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Bruno</cp:lastModifiedBy>
  <dcterms:created xsi:type="dcterms:W3CDTF">2012-05-28T11:56:59Z</dcterms:created>
  <dcterms:modified xsi:type="dcterms:W3CDTF">2012-06-15T00:44:31Z</dcterms:modified>
</cp:coreProperties>
</file>