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240" yWindow="210" windowWidth="11790" windowHeight="5505" activeTab="4"/>
  </bookViews>
  <sheets>
    <sheet name="VOLATILIDADE" sheetId="1" r:id="rId1"/>
    <sheet name="TRAVA" sheetId="3" r:id="rId2"/>
    <sheet name="TENDENCIA" sheetId="4" r:id="rId3"/>
    <sheet name="SETUP" sheetId="2" r:id="rId4"/>
    <sheet name="RESUMO DE PROTEÇÃO" sheetId="5" r:id="rId5"/>
  </sheets>
  <calcPr calcId="124519"/>
</workbook>
</file>

<file path=xl/calcChain.xml><?xml version="1.0" encoding="utf-8"?>
<calcChain xmlns="http://schemas.openxmlformats.org/spreadsheetml/2006/main">
  <c r="A17" i="5"/>
  <c r="B17"/>
  <c r="D17"/>
  <c r="E17"/>
  <c r="F17"/>
  <c r="G17"/>
  <c r="A18"/>
  <c r="B18"/>
  <c r="D18"/>
  <c r="E18"/>
  <c r="F18"/>
  <c r="G18"/>
  <c r="A19"/>
  <c r="B19"/>
  <c r="D19"/>
  <c r="E19"/>
  <c r="F19"/>
  <c r="G19"/>
  <c r="A20"/>
  <c r="B20"/>
  <c r="D20"/>
  <c r="E20"/>
  <c r="F20"/>
  <c r="G20"/>
  <c r="A21"/>
  <c r="B21"/>
  <c r="D21"/>
  <c r="E21"/>
  <c r="F21"/>
  <c r="G21"/>
  <c r="A22"/>
  <c r="B22"/>
  <c r="D22"/>
  <c r="E22"/>
  <c r="F22"/>
  <c r="G22"/>
  <c r="G17" i="3"/>
  <c r="G18"/>
  <c r="G19"/>
  <c r="G20"/>
  <c r="G21"/>
  <c r="G22"/>
  <c r="H17"/>
  <c r="H18"/>
  <c r="H19"/>
  <c r="H20"/>
  <c r="H21"/>
  <c r="H22"/>
  <c r="M17"/>
  <c r="M18"/>
  <c r="M19"/>
  <c r="M20"/>
  <c r="M21"/>
  <c r="M22"/>
  <c r="N17"/>
  <c r="N18"/>
  <c r="N19"/>
  <c r="N20"/>
  <c r="N21"/>
  <c r="N22"/>
  <c r="S17"/>
  <c r="S18"/>
  <c r="S19"/>
  <c r="S20"/>
  <c r="S21"/>
  <c r="S22"/>
  <c r="T17"/>
  <c r="T18"/>
  <c r="T19"/>
  <c r="T20"/>
  <c r="T21"/>
  <c r="T22"/>
  <c r="Y17"/>
  <c r="Y18"/>
  <c r="Y19"/>
  <c r="Y20"/>
  <c r="Y21"/>
  <c r="Y22"/>
  <c r="Z17"/>
  <c r="Z18"/>
  <c r="Z19"/>
  <c r="Z20"/>
  <c r="Z21"/>
  <c r="Z22"/>
  <c r="AA17"/>
  <c r="AA18"/>
  <c r="AA19"/>
  <c r="AA20"/>
  <c r="AA21"/>
  <c r="AA22"/>
  <c r="AB17"/>
  <c r="AB18"/>
  <c r="AB19"/>
  <c r="AB20"/>
  <c r="AB21"/>
  <c r="AB22"/>
  <c r="G17" i="4"/>
  <c r="G18"/>
  <c r="G19"/>
  <c r="G20"/>
  <c r="G21"/>
  <c r="G22"/>
  <c r="H17"/>
  <c r="H18"/>
  <c r="H19"/>
  <c r="H20"/>
  <c r="H21"/>
  <c r="H22"/>
  <c r="M17"/>
  <c r="M18"/>
  <c r="M19"/>
  <c r="M20"/>
  <c r="M21"/>
  <c r="M22"/>
  <c r="N17"/>
  <c r="N18"/>
  <c r="N19"/>
  <c r="N20"/>
  <c r="N21"/>
  <c r="N22"/>
  <c r="S17"/>
  <c r="S18"/>
  <c r="S19"/>
  <c r="S20"/>
  <c r="S21"/>
  <c r="S22"/>
  <c r="T17"/>
  <c r="T18"/>
  <c r="T19"/>
  <c r="T20"/>
  <c r="T21"/>
  <c r="T22"/>
  <c r="Y17"/>
  <c r="Y18"/>
  <c r="Y19"/>
  <c r="Y20"/>
  <c r="Y21"/>
  <c r="Y22"/>
  <c r="Z17"/>
  <c r="Z18"/>
  <c r="Z19"/>
  <c r="Z20"/>
  <c r="Z21"/>
  <c r="Z22"/>
  <c r="AA17"/>
  <c r="I17" s="1"/>
  <c r="AA18"/>
  <c r="AA19"/>
  <c r="AA20"/>
  <c r="AA21"/>
  <c r="AA22"/>
  <c r="AB17"/>
  <c r="AB18"/>
  <c r="AB19"/>
  <c r="AB20"/>
  <c r="AB21"/>
  <c r="AB22"/>
  <c r="H17" i="1"/>
  <c r="H18"/>
  <c r="H19"/>
  <c r="H20"/>
  <c r="H21"/>
  <c r="H22"/>
  <c r="M17"/>
  <c r="M18"/>
  <c r="M19"/>
  <c r="M20"/>
  <c r="M21"/>
  <c r="M22"/>
  <c r="N17"/>
  <c r="N18"/>
  <c r="N19"/>
  <c r="N20"/>
  <c r="N21"/>
  <c r="N22"/>
  <c r="S17"/>
  <c r="S18"/>
  <c r="S19"/>
  <c r="S20"/>
  <c r="S21"/>
  <c r="S22"/>
  <c r="T17"/>
  <c r="T18"/>
  <c r="T19"/>
  <c r="T20"/>
  <c r="T21"/>
  <c r="T22"/>
  <c r="Y17"/>
  <c r="Y18"/>
  <c r="Y19"/>
  <c r="Y20"/>
  <c r="Y21"/>
  <c r="Y22"/>
  <c r="Z17"/>
  <c r="Z18"/>
  <c r="Z19"/>
  <c r="Z20"/>
  <c r="Z21"/>
  <c r="Z22"/>
  <c r="AA17"/>
  <c r="AA18"/>
  <c r="AA19"/>
  <c r="AA20"/>
  <c r="AA21"/>
  <c r="AA22"/>
  <c r="AB17"/>
  <c r="AB18"/>
  <c r="AB19"/>
  <c r="AB20"/>
  <c r="AB21"/>
  <c r="AB22"/>
  <c r="AD17"/>
  <c r="AD18"/>
  <c r="AD19"/>
  <c r="AD20"/>
  <c r="AD21"/>
  <c r="AD22"/>
  <c r="A11" i="5"/>
  <c r="D11"/>
  <c r="A12"/>
  <c r="D12"/>
  <c r="A13"/>
  <c r="D13"/>
  <c r="A14"/>
  <c r="D14"/>
  <c r="A15"/>
  <c r="D15"/>
  <c r="A16"/>
  <c r="D16"/>
  <c r="G11" i="3"/>
  <c r="G12"/>
  <c r="G13"/>
  <c r="G14"/>
  <c r="G15"/>
  <c r="G16"/>
  <c r="M11"/>
  <c r="M12"/>
  <c r="M13"/>
  <c r="M14"/>
  <c r="M15"/>
  <c r="M16"/>
  <c r="N11"/>
  <c r="N12"/>
  <c r="N13"/>
  <c r="N14"/>
  <c r="N15"/>
  <c r="N16"/>
  <c r="S11"/>
  <c r="S12"/>
  <c r="S13"/>
  <c r="S14"/>
  <c r="S15"/>
  <c r="S16"/>
  <c r="T11"/>
  <c r="T12"/>
  <c r="T13"/>
  <c r="T14"/>
  <c r="T15"/>
  <c r="T16"/>
  <c r="Y11"/>
  <c r="Y12"/>
  <c r="Y13"/>
  <c r="Y14"/>
  <c r="Y15"/>
  <c r="Y16"/>
  <c r="Z11"/>
  <c r="Z12"/>
  <c r="Z13"/>
  <c r="Z14"/>
  <c r="Z15"/>
  <c r="Z16"/>
  <c r="AA11"/>
  <c r="AA12"/>
  <c r="AA13"/>
  <c r="AA14"/>
  <c r="AA15"/>
  <c r="AA16"/>
  <c r="AB11"/>
  <c r="AB12"/>
  <c r="AB13"/>
  <c r="AB14"/>
  <c r="AB15"/>
  <c r="AB16"/>
  <c r="G11" i="4"/>
  <c r="G12"/>
  <c r="G13"/>
  <c r="G14"/>
  <c r="G15"/>
  <c r="G16"/>
  <c r="M11"/>
  <c r="M12"/>
  <c r="M13"/>
  <c r="M14"/>
  <c r="M15"/>
  <c r="M16"/>
  <c r="N11"/>
  <c r="N12"/>
  <c r="N13"/>
  <c r="N14"/>
  <c r="N15"/>
  <c r="N16"/>
  <c r="S11"/>
  <c r="S12"/>
  <c r="S13"/>
  <c r="S14"/>
  <c r="S15"/>
  <c r="S16"/>
  <c r="T11"/>
  <c r="T12"/>
  <c r="T13"/>
  <c r="T14"/>
  <c r="T15"/>
  <c r="T16"/>
  <c r="Y11"/>
  <c r="Y12"/>
  <c r="Y13"/>
  <c r="Y14"/>
  <c r="Y15"/>
  <c r="Y16"/>
  <c r="Z11"/>
  <c r="Z12"/>
  <c r="Z13"/>
  <c r="Z14"/>
  <c r="Z15"/>
  <c r="Z16"/>
  <c r="AA11"/>
  <c r="AA12"/>
  <c r="AA13"/>
  <c r="AA14"/>
  <c r="AA15"/>
  <c r="AA16"/>
  <c r="AB11"/>
  <c r="AB12"/>
  <c r="AB13"/>
  <c r="AB14"/>
  <c r="AB15"/>
  <c r="AB16"/>
  <c r="M11" i="1"/>
  <c r="M12"/>
  <c r="M13"/>
  <c r="M14"/>
  <c r="M15"/>
  <c r="M16"/>
  <c r="N11"/>
  <c r="N12"/>
  <c r="N13"/>
  <c r="N14"/>
  <c r="N15"/>
  <c r="N16"/>
  <c r="S11"/>
  <c r="S12"/>
  <c r="S13"/>
  <c r="S14"/>
  <c r="S15"/>
  <c r="S16"/>
  <c r="T11"/>
  <c r="T12"/>
  <c r="T13"/>
  <c r="T14"/>
  <c r="T15"/>
  <c r="T16"/>
  <c r="Y11"/>
  <c r="Y12"/>
  <c r="Y13"/>
  <c r="Y14"/>
  <c r="Y15"/>
  <c r="Y16"/>
  <c r="Z11"/>
  <c r="B11" i="5" s="1"/>
  <c r="E11" s="1"/>
  <c r="Z12" i="1"/>
  <c r="B12" i="5" s="1"/>
  <c r="E12" s="1"/>
  <c r="Z13" i="1"/>
  <c r="B13" i="5" s="1"/>
  <c r="E13" s="1"/>
  <c r="Z14" i="1"/>
  <c r="B14" i="5" s="1"/>
  <c r="E14" s="1"/>
  <c r="Z15" i="1"/>
  <c r="B15" i="5" s="1"/>
  <c r="E15" s="1"/>
  <c r="Z16" i="1"/>
  <c r="B16" i="5" s="1"/>
  <c r="E16" s="1"/>
  <c r="AA11" i="1"/>
  <c r="AA12"/>
  <c r="AA13"/>
  <c r="AA14"/>
  <c r="AA15"/>
  <c r="AA16"/>
  <c r="AB11"/>
  <c r="F11" i="5" s="1"/>
  <c r="AB12" i="1"/>
  <c r="F12" i="5" s="1"/>
  <c r="AB13" i="1"/>
  <c r="F13" i="5" s="1"/>
  <c r="AB14" i="1"/>
  <c r="F14" i="5" s="1"/>
  <c r="AB15" i="1"/>
  <c r="F15" i="5" s="1"/>
  <c r="AB16" i="1"/>
  <c r="F16" i="5" s="1"/>
  <c r="AD11" i="1"/>
  <c r="AD12"/>
  <c r="AD13"/>
  <c r="AD14"/>
  <c r="AD15"/>
  <c r="AD16"/>
  <c r="A6" i="5"/>
  <c r="D6"/>
  <c r="A7"/>
  <c r="D7"/>
  <c r="A8"/>
  <c r="D8"/>
  <c r="A9"/>
  <c r="D9"/>
  <c r="A10"/>
  <c r="D10"/>
  <c r="G10" i="4"/>
  <c r="M10"/>
  <c r="N10"/>
  <c r="S10"/>
  <c r="T10"/>
  <c r="Y10"/>
  <c r="Z10"/>
  <c r="AA10"/>
  <c r="AB10"/>
  <c r="G5"/>
  <c r="G6"/>
  <c r="G7"/>
  <c r="G8"/>
  <c r="G9"/>
  <c r="M5"/>
  <c r="M6"/>
  <c r="M7"/>
  <c r="M8"/>
  <c r="M9"/>
  <c r="N5"/>
  <c r="N6"/>
  <c r="N7"/>
  <c r="N8"/>
  <c r="N9"/>
  <c r="S5"/>
  <c r="S6"/>
  <c r="S7"/>
  <c r="S8"/>
  <c r="S9"/>
  <c r="T5"/>
  <c r="T6"/>
  <c r="T7"/>
  <c r="T8"/>
  <c r="T9"/>
  <c r="Y5"/>
  <c r="Y6"/>
  <c r="Y7"/>
  <c r="Y8"/>
  <c r="Y9"/>
  <c r="Z5"/>
  <c r="Z6"/>
  <c r="Z7"/>
  <c r="Z8"/>
  <c r="Z9"/>
  <c r="AA5"/>
  <c r="AA6"/>
  <c r="AA7"/>
  <c r="AA8"/>
  <c r="AA9"/>
  <c r="AB5"/>
  <c r="AB6"/>
  <c r="AB7"/>
  <c r="AB8"/>
  <c r="AB9"/>
  <c r="A5" i="5"/>
  <c r="D5"/>
  <c r="G10" i="3"/>
  <c r="M10"/>
  <c r="N10"/>
  <c r="S10"/>
  <c r="T10"/>
  <c r="Y10"/>
  <c r="Z10"/>
  <c r="AA10"/>
  <c r="AB10"/>
  <c r="G6"/>
  <c r="G7"/>
  <c r="G8"/>
  <c r="G9"/>
  <c r="M6"/>
  <c r="M7"/>
  <c r="M8"/>
  <c r="M9"/>
  <c r="N6"/>
  <c r="N7"/>
  <c r="N8"/>
  <c r="N9"/>
  <c r="S6"/>
  <c r="S7"/>
  <c r="S8"/>
  <c r="S9"/>
  <c r="T6"/>
  <c r="T7"/>
  <c r="T8"/>
  <c r="T9"/>
  <c r="Y6"/>
  <c r="Y7"/>
  <c r="Y8"/>
  <c r="Y9"/>
  <c r="Z6"/>
  <c r="Z7"/>
  <c r="Z8"/>
  <c r="Z9"/>
  <c r="AA6"/>
  <c r="AA7"/>
  <c r="AA8"/>
  <c r="AA9"/>
  <c r="AB6"/>
  <c r="AB7"/>
  <c r="AB8"/>
  <c r="AB9"/>
  <c r="G5"/>
  <c r="M5"/>
  <c r="N5"/>
  <c r="S5"/>
  <c r="T5"/>
  <c r="Y5"/>
  <c r="Z5"/>
  <c r="AA5"/>
  <c r="AB5"/>
  <c r="I17" l="1"/>
  <c r="J17"/>
  <c r="K17"/>
  <c r="L17"/>
  <c r="P17"/>
  <c r="Q17"/>
  <c r="R17"/>
  <c r="W17"/>
  <c r="X17" s="1"/>
  <c r="AC17"/>
  <c r="I22"/>
  <c r="I21"/>
  <c r="I20"/>
  <c r="I19"/>
  <c r="I18"/>
  <c r="J17" i="4"/>
  <c r="K17"/>
  <c r="L17"/>
  <c r="P17"/>
  <c r="Q17"/>
  <c r="R17"/>
  <c r="W17"/>
  <c r="X17" s="1"/>
  <c r="AC17"/>
  <c r="I22"/>
  <c r="I21"/>
  <c r="I20"/>
  <c r="I19"/>
  <c r="I18"/>
  <c r="I17" i="1"/>
  <c r="J17"/>
  <c r="K17"/>
  <c r="L17"/>
  <c r="P17"/>
  <c r="Q17"/>
  <c r="R17"/>
  <c r="W17"/>
  <c r="X17" s="1"/>
  <c r="AC17"/>
  <c r="I22"/>
  <c r="I21"/>
  <c r="I20"/>
  <c r="I19"/>
  <c r="I18"/>
  <c r="D4" i="5"/>
  <c r="G4" i="4"/>
  <c r="M4"/>
  <c r="N4"/>
  <c r="S4"/>
  <c r="T4"/>
  <c r="Y4"/>
  <c r="Z4"/>
  <c r="AA4"/>
  <c r="AB4"/>
  <c r="A4" i="5"/>
  <c r="D3"/>
  <c r="D2"/>
  <c r="AD2" i="1"/>
  <c r="G4" i="3"/>
  <c r="H4"/>
  <c r="M4"/>
  <c r="N4"/>
  <c r="S4"/>
  <c r="T4"/>
  <c r="Y4"/>
  <c r="Z4"/>
  <c r="AA4"/>
  <c r="AB4"/>
  <c r="A3" i="5"/>
  <c r="A2"/>
  <c r="J18" i="3" l="1"/>
  <c r="K18"/>
  <c r="L18"/>
  <c r="P18"/>
  <c r="Q18"/>
  <c r="R18"/>
  <c r="W18"/>
  <c r="X18" s="1"/>
  <c r="AC18"/>
  <c r="J19"/>
  <c r="K19"/>
  <c r="L19"/>
  <c r="P19"/>
  <c r="Q19"/>
  <c r="R19"/>
  <c r="W19"/>
  <c r="X19" s="1"/>
  <c r="AC19"/>
  <c r="J20"/>
  <c r="K20"/>
  <c r="L20"/>
  <c r="P20"/>
  <c r="Q20"/>
  <c r="R20"/>
  <c r="W20"/>
  <c r="X20" s="1"/>
  <c r="AC20"/>
  <c r="J21"/>
  <c r="K21"/>
  <c r="L21"/>
  <c r="P21"/>
  <c r="Q21"/>
  <c r="R21"/>
  <c r="W21"/>
  <c r="X21" s="1"/>
  <c r="AC21"/>
  <c r="J22"/>
  <c r="K22"/>
  <c r="L22"/>
  <c r="P22"/>
  <c r="Q22"/>
  <c r="R22"/>
  <c r="W22"/>
  <c r="X22" s="1"/>
  <c r="AC22"/>
  <c r="U17"/>
  <c r="O17"/>
  <c r="H10"/>
  <c r="H11"/>
  <c r="H12"/>
  <c r="H13"/>
  <c r="H14"/>
  <c r="H15"/>
  <c r="H16"/>
  <c r="J18" i="4"/>
  <c r="K18"/>
  <c r="L18"/>
  <c r="P18"/>
  <c r="Q18"/>
  <c r="R18"/>
  <c r="W18"/>
  <c r="X18" s="1"/>
  <c r="AC18"/>
  <c r="J19"/>
  <c r="K19"/>
  <c r="L19"/>
  <c r="P19"/>
  <c r="Q19"/>
  <c r="R19"/>
  <c r="W19"/>
  <c r="X19" s="1"/>
  <c r="AC19"/>
  <c r="J20"/>
  <c r="K20"/>
  <c r="L20"/>
  <c r="P20"/>
  <c r="Q20"/>
  <c r="R20"/>
  <c r="W20"/>
  <c r="X20" s="1"/>
  <c r="AC20"/>
  <c r="J21"/>
  <c r="K21"/>
  <c r="L21"/>
  <c r="P21"/>
  <c r="Q21"/>
  <c r="R21"/>
  <c r="W21"/>
  <c r="X21" s="1"/>
  <c r="AC21"/>
  <c r="J22"/>
  <c r="K22"/>
  <c r="L22"/>
  <c r="P22"/>
  <c r="Q22"/>
  <c r="R22"/>
  <c r="W22"/>
  <c r="X22" s="1"/>
  <c r="AC22"/>
  <c r="U17"/>
  <c r="O17"/>
  <c r="J18" i="1"/>
  <c r="K18"/>
  <c r="L18"/>
  <c r="P18"/>
  <c r="Q18"/>
  <c r="R18"/>
  <c r="W18"/>
  <c r="X18" s="1"/>
  <c r="AC18"/>
  <c r="J19"/>
  <c r="K19"/>
  <c r="L19"/>
  <c r="P19"/>
  <c r="Q19"/>
  <c r="R19"/>
  <c r="W19"/>
  <c r="X19" s="1"/>
  <c r="AC19"/>
  <c r="J20"/>
  <c r="K20"/>
  <c r="L20"/>
  <c r="P20"/>
  <c r="Q20"/>
  <c r="R20"/>
  <c r="W20"/>
  <c r="X20" s="1"/>
  <c r="AC20"/>
  <c r="J21"/>
  <c r="K21"/>
  <c r="L21"/>
  <c r="P21"/>
  <c r="Q21"/>
  <c r="R21"/>
  <c r="W21"/>
  <c r="X21" s="1"/>
  <c r="AC21"/>
  <c r="J22"/>
  <c r="K22"/>
  <c r="L22"/>
  <c r="P22"/>
  <c r="Q22"/>
  <c r="R22"/>
  <c r="W22"/>
  <c r="X22" s="1"/>
  <c r="AC22"/>
  <c r="U17"/>
  <c r="O17"/>
  <c r="H5" i="3"/>
  <c r="H6"/>
  <c r="H7"/>
  <c r="H8"/>
  <c r="H9"/>
  <c r="V17" l="1"/>
  <c r="U22"/>
  <c r="O22"/>
  <c r="U21"/>
  <c r="O21"/>
  <c r="U20"/>
  <c r="O20"/>
  <c r="U19"/>
  <c r="O19"/>
  <c r="U18"/>
  <c r="O18"/>
  <c r="V17" i="4"/>
  <c r="U22"/>
  <c r="O22"/>
  <c r="U21"/>
  <c r="O21"/>
  <c r="U20"/>
  <c r="O20"/>
  <c r="U19"/>
  <c r="O19"/>
  <c r="U18"/>
  <c r="O18"/>
  <c r="V17" i="1"/>
  <c r="U22"/>
  <c r="O22"/>
  <c r="U21"/>
  <c r="O21"/>
  <c r="U20"/>
  <c r="O20"/>
  <c r="U19"/>
  <c r="O19"/>
  <c r="U18"/>
  <c r="O18"/>
  <c r="V18" i="3" l="1"/>
  <c r="V19"/>
  <c r="V20"/>
  <c r="V21"/>
  <c r="V22"/>
  <c r="V18" i="4"/>
  <c r="V19"/>
  <c r="V20"/>
  <c r="V21"/>
  <c r="V22"/>
  <c r="V18" i="1"/>
  <c r="V19"/>
  <c r="V20"/>
  <c r="V21"/>
  <c r="V22"/>
  <c r="Y2" i="4"/>
  <c r="Y3"/>
  <c r="Y2" i="3"/>
  <c r="Y3"/>
  <c r="Y10" i="1"/>
  <c r="Y9"/>
  <c r="Y8"/>
  <c r="Y7"/>
  <c r="Y6"/>
  <c r="Y5"/>
  <c r="Y4"/>
  <c r="Y3"/>
  <c r="Y2"/>
  <c r="G2" l="1"/>
  <c r="M3" i="4" l="1"/>
  <c r="N3"/>
  <c r="S3"/>
  <c r="T3"/>
  <c r="Z3"/>
  <c r="G2"/>
  <c r="H10" l="1"/>
  <c r="H11"/>
  <c r="H12"/>
  <c r="H13"/>
  <c r="H14"/>
  <c r="H15"/>
  <c r="H16"/>
  <c r="H4"/>
  <c r="H5"/>
  <c r="H6"/>
  <c r="H7"/>
  <c r="H8"/>
  <c r="H9"/>
  <c r="H3"/>
  <c r="AA3"/>
  <c r="AB3"/>
  <c r="G10" i="1"/>
  <c r="M10"/>
  <c r="N10"/>
  <c r="S10"/>
  <c r="T10"/>
  <c r="Z10"/>
  <c r="G9"/>
  <c r="G8"/>
  <c r="G7"/>
  <c r="G6"/>
  <c r="G5"/>
  <c r="G4"/>
  <c r="M6"/>
  <c r="M7"/>
  <c r="M8"/>
  <c r="M9"/>
  <c r="N6"/>
  <c r="N7"/>
  <c r="N8"/>
  <c r="N9"/>
  <c r="S6"/>
  <c r="S7"/>
  <c r="S8"/>
  <c r="S9"/>
  <c r="T6"/>
  <c r="T7"/>
  <c r="T8"/>
  <c r="T9"/>
  <c r="Z6"/>
  <c r="Z7"/>
  <c r="Z8"/>
  <c r="Z9"/>
  <c r="M5"/>
  <c r="N5"/>
  <c r="S5"/>
  <c r="T5"/>
  <c r="Z5"/>
  <c r="B5" i="5" s="1"/>
  <c r="E5" s="1"/>
  <c r="M4" i="1"/>
  <c r="N4"/>
  <c r="S4"/>
  <c r="T4"/>
  <c r="Z4"/>
  <c r="B4" i="5" s="1"/>
  <c r="G3" i="1"/>
  <c r="H3" i="3"/>
  <c r="Z2" i="4"/>
  <c r="T2"/>
  <c r="S2"/>
  <c r="N2"/>
  <c r="M2"/>
  <c r="H2"/>
  <c r="Z3" i="3"/>
  <c r="AB3" s="1"/>
  <c r="T3"/>
  <c r="S3"/>
  <c r="N3"/>
  <c r="M3"/>
  <c r="Z2"/>
  <c r="T2"/>
  <c r="S2"/>
  <c r="N2"/>
  <c r="M2"/>
  <c r="H11" i="1" l="1"/>
  <c r="H12"/>
  <c r="H13"/>
  <c r="H14"/>
  <c r="H15"/>
  <c r="H16"/>
  <c r="AD9"/>
  <c r="B9" i="5"/>
  <c r="E9" s="1"/>
  <c r="AD8" i="1"/>
  <c r="B8" i="5"/>
  <c r="E8" s="1"/>
  <c r="AD7" i="1"/>
  <c r="B7" i="5"/>
  <c r="E7" s="1"/>
  <c r="AD6" i="1"/>
  <c r="B6" i="5"/>
  <c r="E6" s="1"/>
  <c r="AD10" i="1"/>
  <c r="B10" i="5"/>
  <c r="E10" s="1"/>
  <c r="AA5" i="1"/>
  <c r="AD5"/>
  <c r="AD4"/>
  <c r="E4" i="5"/>
  <c r="G23" i="1"/>
  <c r="H2"/>
  <c r="AB10"/>
  <c r="F10" i="5" s="1"/>
  <c r="AA10" i="1"/>
  <c r="AB9"/>
  <c r="F9" i="5" s="1"/>
  <c r="AA9" i="1"/>
  <c r="AA8"/>
  <c r="AB8"/>
  <c r="F8" i="5" s="1"/>
  <c r="AB7" i="1"/>
  <c r="F7" i="5" s="1"/>
  <c r="AA7" i="1"/>
  <c r="AB6"/>
  <c r="F6" i="5" s="1"/>
  <c r="AA6" i="1"/>
  <c r="AB4"/>
  <c r="F4" i="5" s="1"/>
  <c r="AA4" i="1"/>
  <c r="AB5"/>
  <c r="F5" i="5" s="1"/>
  <c r="H2" i="3"/>
  <c r="AA2" i="4"/>
  <c r="I16" s="1"/>
  <c r="AB2"/>
  <c r="AB2" i="3"/>
  <c r="AA2"/>
  <c r="AA3"/>
  <c r="I16" l="1"/>
  <c r="I15"/>
  <c r="I14"/>
  <c r="I13"/>
  <c r="I12"/>
  <c r="I11"/>
  <c r="J16" i="4"/>
  <c r="K16"/>
  <c r="L16"/>
  <c r="P16"/>
  <c r="Q16"/>
  <c r="R16"/>
  <c r="W16"/>
  <c r="X16" s="1"/>
  <c r="AC16"/>
  <c r="I11"/>
  <c r="I12"/>
  <c r="I13"/>
  <c r="I14"/>
  <c r="I15"/>
  <c r="I10" i="3"/>
  <c r="I4" i="4"/>
  <c r="I10"/>
  <c r="I5"/>
  <c r="I6"/>
  <c r="I7"/>
  <c r="I8"/>
  <c r="I9"/>
  <c r="J4"/>
  <c r="K4"/>
  <c r="L4"/>
  <c r="P4"/>
  <c r="Q4"/>
  <c r="R4"/>
  <c r="W4"/>
  <c r="X4" s="1"/>
  <c r="AC4"/>
  <c r="I9" i="3"/>
  <c r="I8"/>
  <c r="I7"/>
  <c r="I6"/>
  <c r="I5"/>
  <c r="I4"/>
  <c r="I2" i="4"/>
  <c r="I3"/>
  <c r="I3" i="3"/>
  <c r="H8" i="1"/>
  <c r="H10"/>
  <c r="H7"/>
  <c r="H6"/>
  <c r="H9"/>
  <c r="H4"/>
  <c r="H5"/>
  <c r="I2" i="3"/>
  <c r="AC2" s="1"/>
  <c r="W2" i="4"/>
  <c r="X2" s="1"/>
  <c r="K2"/>
  <c r="R2"/>
  <c r="J2"/>
  <c r="Q2"/>
  <c r="P2"/>
  <c r="L2"/>
  <c r="AC2"/>
  <c r="Q3" i="3"/>
  <c r="P3"/>
  <c r="L3"/>
  <c r="W3"/>
  <c r="X3" s="1"/>
  <c r="K3"/>
  <c r="R3"/>
  <c r="J3"/>
  <c r="AC3"/>
  <c r="M3" i="1"/>
  <c r="N3"/>
  <c r="S3"/>
  <c r="T3"/>
  <c r="Z3"/>
  <c r="B3" i="5" s="1"/>
  <c r="J11" i="3" l="1"/>
  <c r="K11"/>
  <c r="L11"/>
  <c r="P11"/>
  <c r="Q11"/>
  <c r="R11"/>
  <c r="W11"/>
  <c r="X11" s="1"/>
  <c r="AC11"/>
  <c r="J12"/>
  <c r="K12"/>
  <c r="L12"/>
  <c r="P12"/>
  <c r="Q12"/>
  <c r="R12"/>
  <c r="W12"/>
  <c r="X12" s="1"/>
  <c r="AC12"/>
  <c r="J13"/>
  <c r="K13"/>
  <c r="L13"/>
  <c r="P13"/>
  <c r="Q13"/>
  <c r="R13"/>
  <c r="W13"/>
  <c r="X13" s="1"/>
  <c r="AC13"/>
  <c r="J14"/>
  <c r="K14"/>
  <c r="L14"/>
  <c r="P14"/>
  <c r="Q14"/>
  <c r="R14"/>
  <c r="W14"/>
  <c r="X14" s="1"/>
  <c r="AC14"/>
  <c r="J15"/>
  <c r="K15"/>
  <c r="L15"/>
  <c r="P15"/>
  <c r="Q15"/>
  <c r="R15"/>
  <c r="W15"/>
  <c r="X15" s="1"/>
  <c r="AC15"/>
  <c r="J16"/>
  <c r="K16"/>
  <c r="L16"/>
  <c r="P16"/>
  <c r="Q16"/>
  <c r="R16"/>
  <c r="W16"/>
  <c r="X16" s="1"/>
  <c r="AC16"/>
  <c r="J15" i="4"/>
  <c r="K15"/>
  <c r="L15"/>
  <c r="P15"/>
  <c r="Q15"/>
  <c r="R15"/>
  <c r="W15"/>
  <c r="X15" s="1"/>
  <c r="AC15"/>
  <c r="J14"/>
  <c r="K14"/>
  <c r="L14"/>
  <c r="P14"/>
  <c r="Q14"/>
  <c r="R14"/>
  <c r="W14"/>
  <c r="X14" s="1"/>
  <c r="AC14"/>
  <c r="J13"/>
  <c r="K13"/>
  <c r="L13"/>
  <c r="P13"/>
  <c r="Q13"/>
  <c r="R13"/>
  <c r="W13"/>
  <c r="X13" s="1"/>
  <c r="AC13"/>
  <c r="J12"/>
  <c r="K12"/>
  <c r="L12"/>
  <c r="P12"/>
  <c r="Q12"/>
  <c r="R12"/>
  <c r="W12"/>
  <c r="X12" s="1"/>
  <c r="AC12"/>
  <c r="J11"/>
  <c r="K11"/>
  <c r="L11"/>
  <c r="P11"/>
  <c r="Q11"/>
  <c r="R11"/>
  <c r="W11"/>
  <c r="X11" s="1"/>
  <c r="AC11"/>
  <c r="U16"/>
  <c r="O16"/>
  <c r="J10" i="3"/>
  <c r="K10"/>
  <c r="L10"/>
  <c r="P10"/>
  <c r="Q10"/>
  <c r="R10"/>
  <c r="W10"/>
  <c r="X10" s="1"/>
  <c r="AC10"/>
  <c r="J10" i="4"/>
  <c r="K10"/>
  <c r="L10"/>
  <c r="P10"/>
  <c r="Q10"/>
  <c r="R10"/>
  <c r="W10"/>
  <c r="X10" s="1"/>
  <c r="AC10"/>
  <c r="J9"/>
  <c r="K9"/>
  <c r="L9"/>
  <c r="P9"/>
  <c r="Q9"/>
  <c r="R9"/>
  <c r="W9"/>
  <c r="X9" s="1"/>
  <c r="AC9"/>
  <c r="J8"/>
  <c r="K8"/>
  <c r="L8"/>
  <c r="P8"/>
  <c r="Q8"/>
  <c r="R8"/>
  <c r="W8"/>
  <c r="X8" s="1"/>
  <c r="AC8"/>
  <c r="J7"/>
  <c r="K7"/>
  <c r="L7"/>
  <c r="P7"/>
  <c r="Q7"/>
  <c r="R7"/>
  <c r="W7"/>
  <c r="X7" s="1"/>
  <c r="AC7"/>
  <c r="J6"/>
  <c r="K6"/>
  <c r="L6"/>
  <c r="P6"/>
  <c r="Q6"/>
  <c r="R6"/>
  <c r="W6"/>
  <c r="X6" s="1"/>
  <c r="AC6"/>
  <c r="J5"/>
  <c r="K5"/>
  <c r="L5"/>
  <c r="P5"/>
  <c r="Q5"/>
  <c r="R5"/>
  <c r="W5"/>
  <c r="X5" s="1"/>
  <c r="AC5"/>
  <c r="U4"/>
  <c r="O4"/>
  <c r="J6" i="3"/>
  <c r="K6"/>
  <c r="L6"/>
  <c r="P6"/>
  <c r="Q6"/>
  <c r="R6"/>
  <c r="W6"/>
  <c r="X6" s="1"/>
  <c r="AC6"/>
  <c r="J7"/>
  <c r="K7"/>
  <c r="L7"/>
  <c r="P7"/>
  <c r="Q7"/>
  <c r="R7"/>
  <c r="W7"/>
  <c r="X7" s="1"/>
  <c r="AC7"/>
  <c r="J8"/>
  <c r="K8"/>
  <c r="L8"/>
  <c r="P8"/>
  <c r="Q8"/>
  <c r="R8"/>
  <c r="W8"/>
  <c r="X8" s="1"/>
  <c r="AC8"/>
  <c r="J9"/>
  <c r="K9"/>
  <c r="L9"/>
  <c r="P9"/>
  <c r="Q9"/>
  <c r="R9"/>
  <c r="W9"/>
  <c r="X9" s="1"/>
  <c r="AC9"/>
  <c r="J5"/>
  <c r="K5"/>
  <c r="L5"/>
  <c r="P5"/>
  <c r="Q5"/>
  <c r="R5"/>
  <c r="W5"/>
  <c r="X5" s="1"/>
  <c r="AC5"/>
  <c r="E3" i="5"/>
  <c r="AD3" i="1"/>
  <c r="J4" i="3"/>
  <c r="K4"/>
  <c r="L4"/>
  <c r="P4"/>
  <c r="Q4"/>
  <c r="R4"/>
  <c r="W4"/>
  <c r="X4" s="1"/>
  <c r="AC4"/>
  <c r="K3" i="4"/>
  <c r="W3"/>
  <c r="X3" s="1"/>
  <c r="Q3"/>
  <c r="L3"/>
  <c r="P3"/>
  <c r="J3"/>
  <c r="O3" s="1"/>
  <c r="R3"/>
  <c r="AC3"/>
  <c r="O2"/>
  <c r="Q2" i="3"/>
  <c r="R2"/>
  <c r="K2"/>
  <c r="L2"/>
  <c r="W2"/>
  <c r="X2" s="1"/>
  <c r="P2"/>
  <c r="J2"/>
  <c r="U2" i="4"/>
  <c r="O3" i="3"/>
  <c r="U3"/>
  <c r="AA3" i="1"/>
  <c r="H3"/>
  <c r="T2"/>
  <c r="S2"/>
  <c r="N2"/>
  <c r="M2"/>
  <c r="U16" i="3" l="1"/>
  <c r="O16"/>
  <c r="U15"/>
  <c r="O15"/>
  <c r="U14"/>
  <c r="O14"/>
  <c r="U13"/>
  <c r="O13"/>
  <c r="U12"/>
  <c r="O12"/>
  <c r="U11"/>
  <c r="O11"/>
  <c r="V16" i="4"/>
  <c r="U11"/>
  <c r="O11"/>
  <c r="U12"/>
  <c r="O12"/>
  <c r="U13"/>
  <c r="O13"/>
  <c r="U14"/>
  <c r="O14"/>
  <c r="U15"/>
  <c r="O15"/>
  <c r="U10" i="3"/>
  <c r="O10"/>
  <c r="U10" i="4"/>
  <c r="O10"/>
  <c r="U5"/>
  <c r="O5"/>
  <c r="U6"/>
  <c r="O6"/>
  <c r="U7"/>
  <c r="O7"/>
  <c r="U8"/>
  <c r="O8"/>
  <c r="U9"/>
  <c r="O9"/>
  <c r="V4"/>
  <c r="U9" i="3"/>
  <c r="O9"/>
  <c r="U8"/>
  <c r="O8"/>
  <c r="U7"/>
  <c r="O7"/>
  <c r="U6"/>
  <c r="O6"/>
  <c r="U5"/>
  <c r="O5"/>
  <c r="U4"/>
  <c r="O4"/>
  <c r="U3" i="4"/>
  <c r="V3" s="1"/>
  <c r="O2" i="3"/>
  <c r="U2"/>
  <c r="V2" i="4"/>
  <c r="V3" i="3"/>
  <c r="V2"/>
  <c r="AB3" i="1"/>
  <c r="F3" i="5" s="1"/>
  <c r="Z2" i="1"/>
  <c r="V11" i="3" l="1"/>
  <c r="V12"/>
  <c r="V13"/>
  <c r="V14"/>
  <c r="V15"/>
  <c r="V16"/>
  <c r="V15" i="4"/>
  <c r="V14"/>
  <c r="V13"/>
  <c r="V12"/>
  <c r="V11"/>
  <c r="V10" i="3"/>
  <c r="V10" i="4"/>
  <c r="B2" i="5"/>
  <c r="E2" s="1"/>
  <c r="V9" i="4"/>
  <c r="V8"/>
  <c r="V7"/>
  <c r="V6"/>
  <c r="V5"/>
  <c r="V6" i="3"/>
  <c r="V7"/>
  <c r="V8"/>
  <c r="V9"/>
  <c r="V5"/>
  <c r="V4"/>
  <c r="AA2" i="1"/>
  <c r="I16" l="1"/>
  <c r="I15"/>
  <c r="I14"/>
  <c r="I13"/>
  <c r="I12"/>
  <c r="I11"/>
  <c r="I2"/>
  <c r="I10"/>
  <c r="AC10" s="1"/>
  <c r="G10" i="5" s="1"/>
  <c r="I5" i="1"/>
  <c r="I8"/>
  <c r="AC8" s="1"/>
  <c r="G8" i="5" s="1"/>
  <c r="I9" i="1"/>
  <c r="AC9" s="1"/>
  <c r="G9" i="5" s="1"/>
  <c r="I6" i="1"/>
  <c r="AC6" s="1"/>
  <c r="G6" i="5" s="1"/>
  <c r="I7" i="1"/>
  <c r="AC7" s="1"/>
  <c r="G7" i="5" s="1"/>
  <c r="I4" i="1"/>
  <c r="AC4" s="1"/>
  <c r="G4" i="5" s="1"/>
  <c r="AB2" i="1"/>
  <c r="I3"/>
  <c r="AC3" s="1"/>
  <c r="G3" i="5" s="1"/>
  <c r="J11" i="1" l="1"/>
  <c r="K11"/>
  <c r="L11"/>
  <c r="P11"/>
  <c r="Q11"/>
  <c r="R11"/>
  <c r="W11"/>
  <c r="X11" s="1"/>
  <c r="AC11"/>
  <c r="G11" i="5" s="1"/>
  <c r="J12" i="1"/>
  <c r="K12"/>
  <c r="L12"/>
  <c r="P12"/>
  <c r="Q12"/>
  <c r="R12"/>
  <c r="W12"/>
  <c r="X12" s="1"/>
  <c r="AC12"/>
  <c r="G12" i="5" s="1"/>
  <c r="J13" i="1"/>
  <c r="K13"/>
  <c r="L13"/>
  <c r="P13"/>
  <c r="Q13"/>
  <c r="R13"/>
  <c r="W13"/>
  <c r="X13" s="1"/>
  <c r="AC13"/>
  <c r="G13" i="5" s="1"/>
  <c r="J14" i="1"/>
  <c r="K14"/>
  <c r="L14"/>
  <c r="P14"/>
  <c r="Q14"/>
  <c r="R14"/>
  <c r="W14"/>
  <c r="X14" s="1"/>
  <c r="AC14"/>
  <c r="G14" i="5" s="1"/>
  <c r="J15" i="1"/>
  <c r="K15"/>
  <c r="L15"/>
  <c r="P15"/>
  <c r="Q15"/>
  <c r="R15"/>
  <c r="W15"/>
  <c r="X15" s="1"/>
  <c r="AC15"/>
  <c r="G15" i="5" s="1"/>
  <c r="J16" i="1"/>
  <c r="K16"/>
  <c r="L16"/>
  <c r="P16"/>
  <c r="Q16"/>
  <c r="R16"/>
  <c r="W16"/>
  <c r="X16" s="1"/>
  <c r="AC16"/>
  <c r="G16" i="5" s="1"/>
  <c r="AC2" i="1"/>
  <c r="G2" i="5" s="1"/>
  <c r="F2"/>
  <c r="W5" i="1"/>
  <c r="X5" s="1"/>
  <c r="AC5"/>
  <c r="G5" i="5" s="1"/>
  <c r="R5" i="1"/>
  <c r="Q5"/>
  <c r="P5"/>
  <c r="K5"/>
  <c r="P10"/>
  <c r="J10"/>
  <c r="Q10"/>
  <c r="K10"/>
  <c r="R10"/>
  <c r="L10"/>
  <c r="W10"/>
  <c r="X10" s="1"/>
  <c r="L5"/>
  <c r="J5"/>
  <c r="J6"/>
  <c r="R6"/>
  <c r="W6"/>
  <c r="X6" s="1"/>
  <c r="P6"/>
  <c r="K6"/>
  <c r="Q6"/>
  <c r="L6"/>
  <c r="P9"/>
  <c r="J9"/>
  <c r="Q9"/>
  <c r="K9"/>
  <c r="R9"/>
  <c r="L9"/>
  <c r="W9"/>
  <c r="X9" s="1"/>
  <c r="J8"/>
  <c r="Q8"/>
  <c r="K8"/>
  <c r="R8"/>
  <c r="L8"/>
  <c r="W8"/>
  <c r="X8" s="1"/>
  <c r="P8"/>
  <c r="P7"/>
  <c r="J7"/>
  <c r="Q7"/>
  <c r="K7"/>
  <c r="R7"/>
  <c r="L7"/>
  <c r="W7"/>
  <c r="X7" s="1"/>
  <c r="L4"/>
  <c r="P4"/>
  <c r="J4"/>
  <c r="Q4"/>
  <c r="R4"/>
  <c r="K4"/>
  <c r="W4"/>
  <c r="X4" s="1"/>
  <c r="L3"/>
  <c r="W3"/>
  <c r="X3" s="1"/>
  <c r="R3"/>
  <c r="J3"/>
  <c r="Q3"/>
  <c r="P3"/>
  <c r="K3"/>
  <c r="K2"/>
  <c r="P2"/>
  <c r="L2"/>
  <c r="Q2"/>
  <c r="W2"/>
  <c r="X2" s="1"/>
  <c r="J2"/>
  <c r="R2"/>
  <c r="U16" l="1"/>
  <c r="O16"/>
  <c r="U15"/>
  <c r="O15"/>
  <c r="U14"/>
  <c r="O14"/>
  <c r="U13"/>
  <c r="O13"/>
  <c r="U12"/>
  <c r="O12"/>
  <c r="U11"/>
  <c r="O11"/>
  <c r="U5"/>
  <c r="U10"/>
  <c r="O10"/>
  <c r="O6"/>
  <c r="O5"/>
  <c r="U6"/>
  <c r="U8"/>
  <c r="U7"/>
  <c r="O9"/>
  <c r="O8"/>
  <c r="O7"/>
  <c r="U9"/>
  <c r="O4"/>
  <c r="U4"/>
  <c r="U3"/>
  <c r="O3"/>
  <c r="O2"/>
  <c r="U2"/>
  <c r="V11" l="1"/>
  <c r="V12"/>
  <c r="V13"/>
  <c r="V14"/>
  <c r="V15"/>
  <c r="V16"/>
  <c r="V5"/>
  <c r="V10"/>
  <c r="V6"/>
  <c r="V7"/>
  <c r="V8"/>
  <c r="V9"/>
  <c r="V4"/>
  <c r="V3"/>
  <c r="V2"/>
</calcChain>
</file>

<file path=xl/sharedStrings.xml><?xml version="1.0" encoding="utf-8"?>
<sst xmlns="http://schemas.openxmlformats.org/spreadsheetml/2006/main" count="109" uniqueCount="45">
  <si>
    <t>APORTE</t>
  </si>
  <si>
    <t>LUCRO</t>
  </si>
  <si>
    <t>NO BOLSO</t>
  </si>
  <si>
    <t>DATA</t>
  </si>
  <si>
    <t>MONTANTE</t>
  </si>
  <si>
    <t>REINVESTIR</t>
  </si>
  <si>
    <t>APLICAÇÃO</t>
  </si>
  <si>
    <t>RENDA FIXA</t>
  </si>
  <si>
    <t>PREV LUCRO</t>
  </si>
  <si>
    <t>TOT RF</t>
  </si>
  <si>
    <t>NORMAL</t>
  </si>
  <si>
    <t>DAYTRADE</t>
  </si>
  <si>
    <t>EMOL.</t>
  </si>
  <si>
    <t>LIQUID.</t>
  </si>
  <si>
    <t>REGISTRO</t>
  </si>
  <si>
    <t>EMOL CP</t>
  </si>
  <si>
    <t>LIQD CP</t>
  </si>
  <si>
    <t>REG CP</t>
  </si>
  <si>
    <t>ISS</t>
  </si>
  <si>
    <t>TAXA CP</t>
  </si>
  <si>
    <t>OUTRAS CP</t>
  </si>
  <si>
    <t>ISS CP</t>
  </si>
  <si>
    <t>CORRETAGEM</t>
  </si>
  <si>
    <t>OUTROS</t>
  </si>
  <si>
    <t>EMOL VD</t>
  </si>
  <si>
    <t>LIQD VD</t>
  </si>
  <si>
    <t>REG VD</t>
  </si>
  <si>
    <t>ISS VD</t>
  </si>
  <si>
    <t>OUTRAS VD</t>
  </si>
  <si>
    <t>TAXA VD</t>
  </si>
  <si>
    <t>TRADE</t>
  </si>
  <si>
    <t>APORTE RF</t>
  </si>
  <si>
    <t>PATRIMÔNIO</t>
  </si>
  <si>
    <t>PERDA MAX</t>
  </si>
  <si>
    <t>% PERDA</t>
  </si>
  <si>
    <t>SAQUE</t>
  </si>
  <si>
    <t>PROTEÇÃO MÊS</t>
  </si>
  <si>
    <t>Total</t>
  </si>
  <si>
    <t>%</t>
  </si>
  <si>
    <t>LUCRO PROTEGIDO OPÇÕES</t>
  </si>
  <si>
    <t>LUCRO LÍQUIDO AÇÕES</t>
  </si>
  <si>
    <t>% LUCRO AÇÕES</t>
  </si>
  <si>
    <t>TOTAL PROTEÇÃO</t>
  </si>
  <si>
    <t>TOTAL RF</t>
  </si>
  <si>
    <t>TOTAL PATRIMÔNIO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</si>
</sst>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0.0000%"/>
    <numFmt numFmtId="166" formatCode="[$R$-416]\ #,##0.00;[Red]\-[$R$-416]\ #,##0.00"/>
    <numFmt numFmtId="167" formatCode="[$-416]mmm\-yy;@"/>
    <numFmt numFmtId="168" formatCode="[$-416]mmmm\-yy;@"/>
    <numFmt numFmtId="169" formatCode="dd/mm/yyyy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Font="1"/>
    <xf numFmtId="10" fontId="2" fillId="0" borderId="0" xfId="2" applyNumberFormat="1" applyFont="1"/>
    <xf numFmtId="14" fontId="2" fillId="0" borderId="0" xfId="0" applyNumberFormat="1" applyFont="1"/>
    <xf numFmtId="164" fontId="2" fillId="0" borderId="0" xfId="1" applyNumberFormat="1" applyFont="1"/>
    <xf numFmtId="0" fontId="6" fillId="0" borderId="0" xfId="0" applyFont="1"/>
    <xf numFmtId="165" fontId="7" fillId="0" borderId="0" xfId="0" applyNumberFormat="1" applyFont="1"/>
    <xf numFmtId="166" fontId="5" fillId="0" borderId="0" xfId="0" applyNumberFormat="1" applyFont="1"/>
    <xf numFmtId="10" fontId="5" fillId="0" borderId="0" xfId="0" applyNumberFormat="1" applyFont="1"/>
    <xf numFmtId="164" fontId="8" fillId="0" borderId="0" xfId="1" applyFont="1"/>
    <xf numFmtId="0" fontId="8" fillId="0" borderId="0" xfId="0" applyFont="1"/>
    <xf numFmtId="164" fontId="3" fillId="0" borderId="0" xfId="1" applyFont="1"/>
    <xf numFmtId="164" fontId="8" fillId="0" borderId="0" xfId="1" applyNumberFormat="1" applyFont="1"/>
    <xf numFmtId="10" fontId="2" fillId="0" borderId="0" xfId="0" applyNumberFormat="1" applyFont="1"/>
    <xf numFmtId="164" fontId="2" fillId="0" borderId="0" xfId="0" applyNumberFormat="1" applyFont="1"/>
    <xf numFmtId="0" fontId="2" fillId="0" borderId="0" xfId="0" applyNumberFormat="1" applyFont="1"/>
    <xf numFmtId="0" fontId="8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  <xf numFmtId="164" fontId="2" fillId="0" borderId="0" xfId="1" applyFont="1" applyBorder="1"/>
    <xf numFmtId="164" fontId="2" fillId="0" borderId="0" xfId="1" applyNumberFormat="1" applyFont="1" applyBorder="1"/>
    <xf numFmtId="164" fontId="8" fillId="0" borderId="0" xfId="1" applyNumberFormat="1" applyFont="1" applyBorder="1"/>
    <xf numFmtId="10" fontId="2" fillId="0" borderId="0" xfId="2" applyNumberFormat="1" applyFont="1" applyBorder="1"/>
    <xf numFmtId="10" fontId="2" fillId="0" borderId="0" xfId="0" applyNumberFormat="1" applyFont="1" applyBorder="1"/>
    <xf numFmtId="168" fontId="2" fillId="0" borderId="0" xfId="0" applyNumberFormat="1" applyFont="1"/>
    <xf numFmtId="0" fontId="3" fillId="0" borderId="0" xfId="0" applyFont="1" applyAlignment="1">
      <alignment horizontal="center"/>
    </xf>
    <xf numFmtId="168" fontId="3" fillId="0" borderId="0" xfId="0" applyNumberFormat="1" applyFont="1"/>
    <xf numFmtId="0" fontId="9" fillId="0" borderId="0" xfId="0" applyFont="1" applyBorder="1"/>
    <xf numFmtId="164" fontId="9" fillId="0" borderId="0" xfId="1" applyFont="1" applyBorder="1"/>
    <xf numFmtId="164" fontId="9" fillId="0" borderId="0" xfId="1" applyNumberFormat="1" applyFont="1" applyBorder="1"/>
    <xf numFmtId="164" fontId="10" fillId="0" borderId="0" xfId="1" applyNumberFormat="1" applyFont="1" applyBorder="1"/>
    <xf numFmtId="10" fontId="9" fillId="0" borderId="0" xfId="2" applyNumberFormat="1" applyFont="1" applyBorder="1"/>
    <xf numFmtId="10" fontId="9" fillId="0" borderId="0" xfId="0" applyNumberFormat="1" applyFont="1" applyBorder="1"/>
    <xf numFmtId="10" fontId="11" fillId="0" borderId="0" xfId="2" applyNumberFormat="1" applyFont="1"/>
    <xf numFmtId="10" fontId="9" fillId="0" borderId="0" xfId="2" applyNumberFormat="1" applyFont="1"/>
    <xf numFmtId="169" fontId="9" fillId="0" borderId="0" xfId="0" applyNumberFormat="1" applyFont="1" applyBorder="1"/>
    <xf numFmtId="168" fontId="3" fillId="0" borderId="2" xfId="0" applyNumberFormat="1" applyFont="1" applyBorder="1" applyAlignment="1">
      <alignment horizontal="center"/>
    </xf>
    <xf numFmtId="164" fontId="3" fillId="0" borderId="2" xfId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8" fontId="2" fillId="2" borderId="0" xfId="0" applyNumberFormat="1" applyFont="1" applyFill="1"/>
    <xf numFmtId="164" fontId="2" fillId="2" borderId="0" xfId="1" applyFont="1" applyFill="1"/>
    <xf numFmtId="43" fontId="2" fillId="2" borderId="0" xfId="0" applyNumberFormat="1" applyFont="1" applyFill="1"/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/>
    <xf numFmtId="169" fontId="2" fillId="0" borderId="0" xfId="0" applyNumberFormat="1" applyFont="1"/>
    <xf numFmtId="169" fontId="2" fillId="0" borderId="0" xfId="0" applyNumberFormat="1" applyFont="1" applyBorder="1"/>
    <xf numFmtId="10" fontId="0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1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A1:AD23" totalsRowCount="1" headerRowDxfId="178">
  <autoFilter ref="A1:AD22">
    <filterColumn colId="29"/>
  </autoFilter>
  <tableColumns count="30">
    <tableColumn id="1" name="TRADE" totalsRowLabel="Total" dataDxfId="177" totalsRowDxfId="87"/>
    <tableColumn id="2" name="DATA" dataDxfId="176" totalsRowDxfId="86"/>
    <tableColumn id="12" name="RENDA FIXA" dataDxfId="175" totalsRowDxfId="85" dataCellStyle="Moeda"/>
    <tableColumn id="26" name="APORTE RF" dataDxfId="174" totalsRowDxfId="84" dataCellStyle="Moeda"/>
    <tableColumn id="9" name="SAQUE" dataDxfId="173" totalsRowDxfId="83" dataCellStyle="Moeda"/>
    <tableColumn id="5" name="LUCRO" dataDxfId="172" totalsRowDxfId="82" dataCellStyle="Moeda"/>
    <tableColumn id="3" name="APORTE" totalsRowFunction="sum" dataDxfId="171" totalsRowDxfId="81" dataCellStyle="Moeda">
      <calculatedColumnFormula>380</calculatedColumnFormula>
    </tableColumn>
    <tableColumn id="4" name="MONTANTE" dataDxfId="170" totalsRowDxfId="80" dataCellStyle="Moeda">
      <calculatedColumnFormula>SUMPRODUCT(N([TRADE] &lt;= Tabela1[[#This Row],[TRADE]]), [APORTE]) + SUMPRODUCT(N([TRADE] &lt;= Tabela1[[#This Row],[TRADE]]), [APORTE RF])</calculatedColumnFormula>
    </tableColumn>
    <tableColumn id="10" name="APLICAÇÃO" dataDxfId="169" totalsRowDxfId="79" dataCellStyle="Moeda">
      <calculatedColumnFormula>[MONTANTE] - SUMPRODUCT(N([TRADE] &lt;= Tabela1[[#This Row],[TRADE]]), [SAQUE]) + SUMPRODUCT(N([TRADE] &lt; Tabela1[[#This Row],[TRADE]]), [REINVESTIR])</calculatedColumnFormula>
    </tableColumn>
    <tableColumn id="11" name="EMOL CP" dataDxfId="168" totalsRowDxfId="78" dataCellStyle="Moeda">
      <calculatedColumnFormula>TRUNC([APLICAÇÃO]  * SETUP!$A$3, 2)</calculatedColumnFormula>
    </tableColumn>
    <tableColumn id="13" name="LIQD CP" dataDxfId="167" totalsRowDxfId="77" dataCellStyle="Moeda">
      <calculatedColumnFormula>TRUNC([APLICAÇÃO]  * SETUP!$B$3, 2)</calculatedColumnFormula>
    </tableColumn>
    <tableColumn id="14" name="REG CP" dataDxfId="166" totalsRowDxfId="76" dataCellStyle="Moeda">
      <calculatedColumnFormula>TRUNC([APLICAÇÃO]  * SETUP!$C$3, 2)</calculatedColumnFormula>
    </tableColumn>
    <tableColumn id="16" name="ISS CP" dataDxfId="165" totalsRowDxfId="75" dataCellStyle="Moeda">
      <calculatedColumnFormula>TRUNC(SETUP!$G$3  * SETUP!$H$3, 2)</calculatedColumnFormula>
    </tableColumn>
    <tableColumn id="19" name="OUTRAS CP" dataDxfId="164" totalsRowDxfId="74" dataCellStyle="Moeda">
      <calculatedColumnFormula>ROUND(SETUP!$G$3 * SETUP!$I$3, 2)</calculatedColumnFormula>
    </tableColumn>
    <tableColumn id="18" name="TAXA CP" dataDxfId="163" totalsRowDxfId="73" dataCellStyle="Moeda">
      <calculatedColumnFormula>SETUP!$G$3 + SUM(Tabela1[[#This Row],[EMOL CP]]:Tabela1[[#This Row],[OUTRAS CP]])</calculatedColumnFormula>
    </tableColumn>
    <tableColumn id="25" name="EMOL VD" dataDxfId="162" totalsRowDxfId="72" dataCellStyle="Moeda">
      <calculatedColumnFormula>TRUNC([APLICAÇÃO] * 2  * SETUP!$A$3, 2)</calculatedColumnFormula>
    </tableColumn>
    <tableColumn id="24" name="LIQD VD" dataDxfId="161" totalsRowDxfId="71" dataCellStyle="Moeda">
      <calculatedColumnFormula>TRUNC([APLICAÇÃO] * 2  * SETUP!$B$3, 2)</calculatedColumnFormula>
    </tableColumn>
    <tableColumn id="23" name="REG VD" dataDxfId="160" totalsRowDxfId="70" dataCellStyle="Moeda">
      <calculatedColumnFormula>TRUNC([APLICAÇÃO] * 2  * SETUP!$C$3, 2)</calculatedColumnFormula>
    </tableColumn>
    <tableColumn id="22" name="ISS VD" dataDxfId="159" totalsRowDxfId="69" dataCellStyle="Moeda">
      <calculatedColumnFormula>TRUNC(SETUP!$G$3  * SETUP!$H$3, 2)</calculatedColumnFormula>
    </tableColumn>
    <tableColumn id="21" name="OUTRAS VD" dataDxfId="158" totalsRowDxfId="68" dataCellStyle="Moeda">
      <calculatedColumnFormula>ROUND(SETUP!$G$3 * SETUP!$I$3, 2)</calculatedColumnFormula>
    </tableColumn>
    <tableColumn id="20" name="TAXA VD" dataDxfId="157" totalsRowDxfId="67" dataCellStyle="Moeda">
      <calculatedColumnFormula>SETUP!$G$3 + SUM(Tabela1[[#This Row],[EMOL VD]]:Tabela1[[#This Row],[OUTRAS VD]])</calculatedColumnFormula>
    </tableColumn>
    <tableColumn id="17" name="PREV LUCRO" dataDxfId="156" totalsRowDxfId="66" dataCellStyle="Moeda">
      <calculatedColumnFormula>((([APLICAÇÃO] * 2) - [TAXA VD]) - ([APLICAÇÃO] + [TAXA CP])) * 0.85</calculatedColumnFormula>
    </tableColumn>
    <tableColumn id="28" name="PERDA MAX" dataDxfId="155" totalsRowDxfId="65" dataCellStyle="Moeda">
      <calculatedColumnFormula>[APLICAÇÃO] - (ROUND([RENDA FIXA] * 0.1,2))</calculatedColumnFormula>
    </tableColumn>
    <tableColumn id="29" name="% PERDA" dataDxfId="154" totalsRowDxfId="64" dataCellStyle="Porcentagem">
      <calculatedColumnFormula>Tabela1[[#This Row],[PERDA MAX]]/Tabela1[[#This Row],[APLICAÇÃO]]</calculatedColumnFormula>
    </tableColumn>
    <tableColumn id="6" name="NO BOLSO" dataDxfId="153" totalsRowDxfId="63">
      <calculatedColumnFormula>IF([LUCRO] &lt; ([RENDA FIXA]/2), 0.8, 0.8)</calculatedColumnFormula>
    </tableColumn>
    <tableColumn id="7" name="PROTEÇÃO MÊS" dataDxfId="152" totalsRowDxfId="62" dataCellStyle="Moeda">
      <calculatedColumnFormula>IF([LUCRO] &lt; 0, 0, ROUND([LUCRO]*[NO BOLSO], 2))</calculatedColumnFormula>
    </tableColumn>
    <tableColumn id="8" name="REINVESTIR" dataDxfId="151" totalsRowDxfId="61" dataCellStyle="Moeda">
      <calculatedColumnFormula>[LUCRO]-[PROTEÇÃO MÊS]</calculatedColumnFormula>
    </tableColumn>
    <tableColumn id="15" name="TOT RF" dataDxfId="150" totalsRowDxfId="60" dataCellStyle="Moeda">
      <calculatedColumnFormula>[RENDA FIXA] + [PROTEÇÃO MÊS] - [APORTE RF]</calculatedColumnFormula>
    </tableColumn>
    <tableColumn id="27" name="PATRIMÔNIO" dataDxfId="149" totalsRowDxfId="59" dataCellStyle="Moeda">
      <calculatedColumnFormula>[TOT RF] + [REINVESTIR] + [APLICAÇÃO]</calculatedColumnFormula>
    </tableColumn>
    <tableColumn id="30" name="%" dataDxfId="148" totalsRowDxfId="58" dataCellStyle="Porcentagem">
      <calculatedColumnFormula>IF([RENDA FIXA] &gt; 0, [PROTEÇÃO MÊS] / [RENDA FIXA],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AC23" totalsRowCount="1" headerRowDxfId="147">
  <autoFilter ref="A1:AC22"/>
  <tableColumns count="29">
    <tableColumn id="1" name="TRADE" totalsRowLabel="Total" dataDxfId="146" totalsRowDxfId="28"/>
    <tableColumn id="2" name="DATA" dataDxfId="145" totalsRowDxfId="27"/>
    <tableColumn id="12" name="RENDA FIXA" dataDxfId="144" totalsRowDxfId="26" dataCellStyle="Moeda"/>
    <tableColumn id="26" name="APORTE RF" dataDxfId="143" totalsRowDxfId="25" dataCellStyle="Moeda"/>
    <tableColumn id="9" name="SAQUE" dataDxfId="142" totalsRowDxfId="24" dataCellStyle="Moeda"/>
    <tableColumn id="5" name="LUCRO" dataDxfId="141" totalsRowDxfId="23" dataCellStyle="Moeda"/>
    <tableColumn id="3" name="APORTE" dataDxfId="140" totalsRowDxfId="22" dataCellStyle="Moeda">
      <calculatedColumnFormula>100</calculatedColumnFormula>
    </tableColumn>
    <tableColumn id="4" name="MONTANTE" dataDxfId="139" totalsRowDxfId="21" dataCellStyle="Moeda">
      <calculatedColumnFormula>SUMPRODUCT(N([TRADE] &lt;= Tabela13[[#This Row],[TRADE]]), [APORTE]) + SUMPRODUCT(N([TRADE] &lt;= Tabela13[[#This Row],[TRADE]]), [APORTE RF])</calculatedColumnFormula>
    </tableColumn>
    <tableColumn id="10" name="APLICAÇÃO" dataDxfId="138" totalsRowDxfId="20" dataCellStyle="Moeda">
      <calculatedColumnFormula>[MONTANTE] - SUMPRODUCT(N([TRADE] &lt;= Tabela13[[#This Row],[TRADE]]), [SAQUE]) + SUMPRODUCT(N([TRADE] &lt; Tabela13[[#This Row],[TRADE]]), [REINVESTIR])</calculatedColumnFormula>
    </tableColumn>
    <tableColumn id="11" name="EMOL CP" dataDxfId="137" totalsRowDxfId="19" dataCellStyle="Moeda">
      <calculatedColumnFormula>TRUNC([APLICAÇÃO]  * SETUP!$A$3, 2)</calculatedColumnFormula>
    </tableColumn>
    <tableColumn id="13" name="LIQD CP" dataDxfId="136" totalsRowDxfId="18" dataCellStyle="Moeda">
      <calculatedColumnFormula>TRUNC([APLICAÇÃO]  * SETUP!$B$3, 2)</calculatedColumnFormula>
    </tableColumn>
    <tableColumn id="14" name="REG CP" dataDxfId="135" totalsRowDxfId="17" dataCellStyle="Moeda">
      <calculatedColumnFormula>TRUNC([APLICAÇÃO]  * SETUP!$C$3, 2)</calculatedColumnFormula>
    </tableColumn>
    <tableColumn id="16" name="ISS CP" dataDxfId="134" totalsRowDxfId="16" dataCellStyle="Moeda">
      <calculatedColumnFormula>TRUNC(SETUP!$G$3  * SETUP!$H$3, 2)</calculatedColumnFormula>
    </tableColumn>
    <tableColumn id="19" name="OUTRAS CP" dataDxfId="133" totalsRowDxfId="15" dataCellStyle="Moeda">
      <calculatedColumnFormula>ROUND(SETUP!$G$3 * SETUP!$I$3, 2)</calculatedColumnFormula>
    </tableColumn>
    <tableColumn id="18" name="TAXA CP" dataDxfId="132" totalsRowDxfId="14" dataCellStyle="Moeda">
      <calculatedColumnFormula>SETUP!$G$3 + SUM(Tabela13[[#This Row],[EMOL CP]]:Tabela13[[#This Row],[OUTRAS CP]])</calculatedColumnFormula>
    </tableColumn>
    <tableColumn id="25" name="EMOL VD" dataDxfId="131" totalsRowDxfId="13" dataCellStyle="Moeda">
      <calculatedColumnFormula>TRUNC([APLICAÇÃO] * 2  * SETUP!$A$3, 2)</calculatedColumnFormula>
    </tableColumn>
    <tableColumn id="24" name="LIQD VD" dataDxfId="130" totalsRowDxfId="12" dataCellStyle="Moeda">
      <calculatedColumnFormula>TRUNC([APLICAÇÃO] * 2  * SETUP!$B$3, 2)</calculatedColumnFormula>
    </tableColumn>
    <tableColumn id="23" name="REG VD" dataDxfId="129" totalsRowDxfId="11" dataCellStyle="Moeda">
      <calculatedColumnFormula>TRUNC([APLICAÇÃO] * 2  * SETUP!$C$3, 2)</calculatedColumnFormula>
    </tableColumn>
    <tableColumn id="22" name="ISS VD" dataDxfId="128" totalsRowDxfId="10" dataCellStyle="Moeda">
      <calculatedColumnFormula>TRUNC(SETUP!$G$3  * SETUP!$H$3, 2)</calculatedColumnFormula>
    </tableColumn>
    <tableColumn id="21" name="OUTRAS VD" dataDxfId="127" totalsRowDxfId="9" dataCellStyle="Moeda">
      <calculatedColumnFormula>ROUND(SETUP!$G$3 * SETUP!$I$3, 2)</calculatedColumnFormula>
    </tableColumn>
    <tableColumn id="20" name="TAXA VD" dataDxfId="126" totalsRowDxfId="8" dataCellStyle="Moeda">
      <calculatedColumnFormula>SETUP!$G$3 + SUM(Tabela13[[#This Row],[EMOL VD]]:Tabela13[[#This Row],[OUTRAS VD]])</calculatedColumnFormula>
    </tableColumn>
    <tableColumn id="17" name="PREV LUCRO" dataDxfId="125" totalsRowDxfId="7" dataCellStyle="Moeda">
      <calculatedColumnFormula>((([APLICAÇÃO] * 2) - [TAXA VD]) - ([APLICAÇÃO] + [TAXA CP])) * 0.85</calculatedColumnFormula>
    </tableColumn>
    <tableColumn id="28" name="PERDA MAX" dataDxfId="124" totalsRowDxfId="6" dataCellStyle="Moeda">
      <calculatedColumnFormula>[APLICAÇÃO] - (ROUND([RENDA FIXA] * 0.1,2))</calculatedColumnFormula>
    </tableColumn>
    <tableColumn id="29" name="% PERDA" dataDxfId="123" totalsRowDxfId="5" dataCellStyle="Porcentagem">
      <calculatedColumnFormula>Tabela13[[#This Row],[PERDA MAX]]/Tabela13[[#This Row],[APLICAÇÃO]]</calculatedColumnFormula>
    </tableColumn>
    <tableColumn id="6" name="NO BOLSO" dataDxfId="122" totalsRowDxfId="4">
      <calculatedColumnFormula>IF([LUCRO] &lt; ([RENDA FIXA]/2), 0.8, 0.8)</calculatedColumnFormula>
    </tableColumn>
    <tableColumn id="7" name="PROTEÇÃO MÊS" dataDxfId="121" totalsRowDxfId="3" dataCellStyle="Moeda">
      <calculatedColumnFormula>IF([LUCRO] &lt; 0, 0, ROUND([LUCRO]*[NO BOLSO], 2))</calculatedColumnFormula>
    </tableColumn>
    <tableColumn id="8" name="REINVESTIR" dataDxfId="120" totalsRowDxfId="2" dataCellStyle="Moeda">
      <calculatedColumnFormula>[LUCRO]-[PROTEÇÃO MÊS]</calculatedColumnFormula>
    </tableColumn>
    <tableColumn id="15" name="TOT RF" dataDxfId="119" totalsRowDxfId="1" dataCellStyle="Moeda">
      <calculatedColumnFormula>[RENDA FIXA] + [PROTEÇÃO MÊS] - [APORTE RF]</calculatedColumnFormula>
    </tableColumn>
    <tableColumn id="27" name="PATRIMÔNIO" dataDxfId="118" totalsRowDxfId="0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134" displayName="Tabela134" ref="A1:AC23" totalsRowCount="1" headerRowDxfId="117">
  <autoFilter ref="A1:AC22"/>
  <tableColumns count="29">
    <tableColumn id="1" name="TRADE" totalsRowLabel="Total" dataDxfId="116" totalsRowDxfId="57"/>
    <tableColumn id="2" name="DATA" dataDxfId="115" totalsRowDxfId="56"/>
    <tableColumn id="12" name="RENDA FIXA" dataDxfId="114" totalsRowDxfId="55" dataCellStyle="Moeda"/>
    <tableColumn id="26" name="APORTE RF" dataDxfId="113" totalsRowDxfId="54" dataCellStyle="Moeda"/>
    <tableColumn id="9" name="SAQUE" dataDxfId="112" totalsRowDxfId="53" dataCellStyle="Moeda"/>
    <tableColumn id="5" name="LUCRO" dataDxfId="111" totalsRowDxfId="52" dataCellStyle="Moeda"/>
    <tableColumn id="3" name="APORTE" dataDxfId="110" totalsRowDxfId="51" dataCellStyle="Moeda">
      <calculatedColumnFormula>100</calculatedColumnFormula>
    </tableColumn>
    <tableColumn id="4" name="MONTANTE" dataDxfId="109" totalsRowDxfId="50" dataCellStyle="Moeda">
      <calculatedColumnFormula>SUMPRODUCT(N([TRADE] &lt;= Tabela134[[#This Row],[TRADE]]), [APORTE]) + SUMPRODUCT(N([TRADE] &lt;= Tabela134[[#This Row],[TRADE]]), [APORTE RF])</calculatedColumnFormula>
    </tableColumn>
    <tableColumn id="10" name="APLICAÇÃO" dataDxfId="108" totalsRowDxfId="49" dataCellStyle="Moeda">
      <calculatedColumnFormula>[MONTANTE] - SUMPRODUCT(N([TRADE] &lt;= Tabela134[[#This Row],[TRADE]]), [SAQUE]) + SUMPRODUCT(N([TRADE] &lt; Tabela134[[#This Row],[TRADE]]), [REINVESTIR])</calculatedColumnFormula>
    </tableColumn>
    <tableColumn id="11" name="EMOL CP" dataDxfId="107" totalsRowDxfId="48" dataCellStyle="Moeda">
      <calculatedColumnFormula>TRUNC([APLICAÇÃO]  * SETUP!$A$3, 2)</calculatedColumnFormula>
    </tableColumn>
    <tableColumn id="13" name="LIQD CP" dataDxfId="106" totalsRowDxfId="47" dataCellStyle="Moeda">
      <calculatedColumnFormula>TRUNC([APLICAÇÃO]  * SETUP!$B$3, 2)</calculatedColumnFormula>
    </tableColumn>
    <tableColumn id="14" name="REG CP" dataDxfId="105" totalsRowDxfId="46" dataCellStyle="Moeda">
      <calculatedColumnFormula>TRUNC([APLICAÇÃO]  * SETUP!$C$3, 2)</calculatedColumnFormula>
    </tableColumn>
    <tableColumn id="16" name="ISS CP" dataDxfId="104" totalsRowDxfId="45" dataCellStyle="Moeda">
      <calculatedColumnFormula>TRUNC(SETUP!$G$3  * SETUP!$H$3, 2)</calculatedColumnFormula>
    </tableColumn>
    <tableColumn id="19" name="OUTRAS CP" dataDxfId="103" totalsRowDxfId="44" dataCellStyle="Moeda">
      <calculatedColumnFormula>ROUND(SETUP!$G$3 * SETUP!$I$3, 2)</calculatedColumnFormula>
    </tableColumn>
    <tableColumn id="18" name="TAXA CP" dataDxfId="102" totalsRowDxfId="43" dataCellStyle="Moeda">
      <calculatedColumnFormula>SETUP!$G$3 + SUM(Tabela134[[#This Row],[EMOL CP]]:Tabela134[[#This Row],[OUTRAS CP]])</calculatedColumnFormula>
    </tableColumn>
    <tableColumn id="25" name="EMOL VD" dataDxfId="101" totalsRowDxfId="42" dataCellStyle="Moeda">
      <calculatedColumnFormula>TRUNC([APLICAÇÃO] * 2  * SETUP!$A$3, 2)</calculatedColumnFormula>
    </tableColumn>
    <tableColumn id="24" name="LIQD VD" dataDxfId="100" totalsRowDxfId="41" dataCellStyle="Moeda">
      <calculatedColumnFormula>TRUNC([APLICAÇÃO] * 2  * SETUP!$B$3, 2)</calculatedColumnFormula>
    </tableColumn>
    <tableColumn id="23" name="REG VD" dataDxfId="99" totalsRowDxfId="40" dataCellStyle="Moeda">
      <calculatedColumnFormula>TRUNC([APLICAÇÃO] * 2  * SETUP!$C$3, 2)</calculatedColumnFormula>
    </tableColumn>
    <tableColumn id="22" name="ISS VD" dataDxfId="98" totalsRowDxfId="39" dataCellStyle="Moeda">
      <calculatedColumnFormula>TRUNC(SETUP!$G$3  * SETUP!$H$3, 2)</calculatedColumnFormula>
    </tableColumn>
    <tableColumn id="21" name="OUTRAS VD" dataDxfId="97" totalsRowDxfId="38" dataCellStyle="Moeda">
      <calculatedColumnFormula>ROUND(SETUP!$G$3 * SETUP!$I$3, 2)</calculatedColumnFormula>
    </tableColumn>
    <tableColumn id="20" name="TAXA VD" dataDxfId="96" totalsRowDxfId="37" dataCellStyle="Moeda">
      <calculatedColumnFormula>SETUP!$G$3 + SUM(Tabela134[[#This Row],[EMOL VD]]:Tabela134[[#This Row],[OUTRAS VD]])</calculatedColumnFormula>
    </tableColumn>
    <tableColumn id="17" name="PREV LUCRO" dataDxfId="95" totalsRowDxfId="36" dataCellStyle="Moeda">
      <calculatedColumnFormula>((([APLICAÇÃO] * 2) - [TAXA VD]) - ([APLICAÇÃO] + [TAXA CP])) * 0.85</calculatedColumnFormula>
    </tableColumn>
    <tableColumn id="28" name="PERDA MAX" dataDxfId="94" totalsRowDxfId="35" dataCellStyle="Moeda">
      <calculatedColumnFormula>[APLICAÇÃO] - (ROUND([RENDA FIXA] * 0.1,2))</calculatedColumnFormula>
    </tableColumn>
    <tableColumn id="29" name="% PERDA" dataDxfId="93" totalsRowDxfId="34" dataCellStyle="Porcentagem">
      <calculatedColumnFormula>Tabela134[[#This Row],[PERDA MAX]]/Tabela134[[#This Row],[APLICAÇÃO]]</calculatedColumnFormula>
    </tableColumn>
    <tableColumn id="6" name="NO BOLSO" dataDxfId="92" totalsRowDxfId="33">
      <calculatedColumnFormula>IF([LUCRO] &lt; ([RENDA FIXA]/2), 0.8, 0.8)</calculatedColumnFormula>
    </tableColumn>
    <tableColumn id="7" name="PROTEÇÃO MÊS" dataDxfId="91" totalsRowDxfId="32" dataCellStyle="Moeda">
      <calculatedColumnFormula>IF([LUCRO] &lt; 0, 0, ROUND([LUCRO]*[NO BOLSO], 2))</calculatedColumnFormula>
    </tableColumn>
    <tableColumn id="8" name="REINVESTIR" dataDxfId="90" totalsRowDxfId="31" dataCellStyle="Moeda">
      <calculatedColumnFormula>[LUCRO]-[PROTEÇÃO MÊS]</calculatedColumnFormula>
    </tableColumn>
    <tableColumn id="15" name="TOT RF" dataDxfId="89" totalsRowDxfId="30" dataCellStyle="Moeda">
      <calculatedColumnFormula>[RENDA FIXA] + [PROTEÇÃO MÊS] - [APORTE RF]</calculatedColumnFormula>
    </tableColumn>
    <tableColumn id="27" name="PATRIMÔNIO" dataDxfId="88" totalsRowDxfId="29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AD23"/>
  <sheetViews>
    <sheetView workbookViewId="0">
      <selection activeCell="F23" sqref="F23"/>
    </sheetView>
  </sheetViews>
  <sheetFormatPr defaultRowHeight="11.25"/>
  <cols>
    <col min="1" max="1" width="7.5703125" style="1" bestFit="1" customWidth="1"/>
    <col min="2" max="2" width="6.85546875" style="20" bestFit="1" customWidth="1"/>
    <col min="3" max="3" width="12.8554687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hidden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30" width="6.85546875" style="4" bestFit="1" customWidth="1"/>
    <col min="31" max="16384" width="9.140625" style="1"/>
  </cols>
  <sheetData>
    <row r="1" spans="1:30">
      <c r="A1" s="2" t="s">
        <v>30</v>
      </c>
      <c r="B1" s="19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  <c r="AD1" s="35" t="s">
        <v>38</v>
      </c>
    </row>
    <row r="2" spans="1:30">
      <c r="A2" s="1">
        <v>1</v>
      </c>
      <c r="B2" s="20">
        <v>41000</v>
      </c>
      <c r="C2" s="3">
        <v>0</v>
      </c>
      <c r="D2" s="3">
        <v>0</v>
      </c>
      <c r="E2" s="3">
        <v>0</v>
      </c>
      <c r="F2" s="3">
        <v>366.88</v>
      </c>
      <c r="G2" s="3">
        <f>400</f>
        <v>400</v>
      </c>
      <c r="H2" s="3">
        <f>SUMPRODUCT(N([TRADE] &lt;= Tabela1[[#This Row],[TRADE]]), [APORTE]) + SUMPRODUCT(N([TRADE] &lt;= Tabela1[[#This Row],[TRADE]]), [APORTE RF])</f>
        <v>400</v>
      </c>
      <c r="I2" s="3">
        <f>[MONTANTE] - SUMPRODUCT(N([TRADE] &lt;= Tabela1[[#This Row],[TRADE]]), [SAQUE]) + SUMPRODUCT(N([TRADE] &lt; Tabela1[[#This Row],[TRADE]]), [REINVESTIR])</f>
        <v>400</v>
      </c>
      <c r="J2" s="3">
        <f>TRUNC([APLICAÇÃO]  * SETUP!$A$3, 2)</f>
        <v>0.14000000000000001</v>
      </c>
      <c r="K2" s="3">
        <f>TRUNC([APLICAÇÃO]  * SETUP!$B$3, 2)</f>
        <v>0.11</v>
      </c>
      <c r="L2" s="3">
        <f>TRUNC([APLICAÇÃO]  * SETUP!$C$3, 2)</f>
        <v>0.27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SUM(Tabela1[[#This Row],[EMOL CP]]:Tabela1[[#This Row],[OUTRAS CP]])</f>
        <v>16.29</v>
      </c>
      <c r="P2" s="3">
        <f>TRUNC([APLICAÇÃO] * 2  * SETUP!$A$3, 2)</f>
        <v>0.28999999999999998</v>
      </c>
      <c r="Q2" s="3">
        <f>TRUNC([APLICAÇÃO] * 2  * SETUP!$B$3, 2)</f>
        <v>0.22</v>
      </c>
      <c r="R2" s="3">
        <f>TRUNC([APLICAÇÃO] * 2  * SETUP!$C$3, 2)</f>
        <v>0.55000000000000004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SUM(Tabela1[[#This Row],[EMOL VD]]:Tabela1[[#This Row],[OUTRAS VD]])</f>
        <v>16.830000000000002</v>
      </c>
      <c r="V2" s="3">
        <f>((([APLICAÇÃO] * 2) - [TAXA VD]) - ([APLICAÇÃO] + [TAXA CP])) * 0.85</f>
        <v>311.84799999999996</v>
      </c>
      <c r="W2" s="11">
        <f>[APLICAÇÃO] - (ROUND([RENDA FIXA] * 0.1,2))</f>
        <v>400</v>
      </c>
      <c r="X2" s="4">
        <f>Tabela1[[#This Row],[PERDA MAX]]/Tabela1[[#This Row],[APLICAÇÃO]]</f>
        <v>1</v>
      </c>
      <c r="Y2" s="4">
        <f>IF([LUCRO] &lt; ([RENDA FIXA]/2), 0.8, 0.8)</f>
        <v>0.8</v>
      </c>
      <c r="Z2" s="3">
        <f>IF([LUCRO] &lt; 0, 0, ROUND([LUCRO]*[NO BOLSO], 2))</f>
        <v>293.5</v>
      </c>
      <c r="AA2" s="3">
        <f>[LUCRO]-[PROTEÇÃO MÊS]</f>
        <v>73.38</v>
      </c>
      <c r="AB2" s="3">
        <f>[RENDA FIXA] + [PROTEÇÃO MÊS] - [APORTE RF]</f>
        <v>293.5</v>
      </c>
      <c r="AC2" s="6">
        <f>[TOT RF] + [REINVESTIR]</f>
        <v>366.88</v>
      </c>
      <c r="AD2" s="36">
        <f>IF([RENDA FIXA] &gt; 0, [PROTEÇÃO MÊS] / [RENDA FIXA], 0)</f>
        <v>0</v>
      </c>
    </row>
    <row r="3" spans="1:30">
      <c r="A3" s="1">
        <v>2</v>
      </c>
      <c r="B3" s="20">
        <v>41030</v>
      </c>
      <c r="C3" s="3">
        <v>293.5</v>
      </c>
      <c r="D3" s="3">
        <v>0</v>
      </c>
      <c r="E3" s="3">
        <v>0</v>
      </c>
      <c r="F3" s="3">
        <v>0</v>
      </c>
      <c r="G3" s="3">
        <f>400</f>
        <v>400</v>
      </c>
      <c r="H3" s="3">
        <f>SUMPRODUCT(N([TRADE] &lt;= Tabela1[[#This Row],[TRADE]]), [APORTE]) + SUMPRODUCT(N([TRADE] &lt;= Tabela1[[#This Row],[TRADE]]), [APORTE RF])</f>
        <v>800</v>
      </c>
      <c r="I3" s="3">
        <f>[MONTANTE] - SUMPRODUCT(N([TRADE] &lt;= Tabela1[[#This Row],[TRADE]]), [SAQUE]) + SUMPRODUCT(N([TRADE] &lt; Tabela1[[#This Row],[TRADE]]), [REINVESTIR])</f>
        <v>873.38</v>
      </c>
      <c r="J3" s="3">
        <f>TRUNC([APLICAÇÃO]  * SETUP!$A$3, 2)</f>
        <v>0.32</v>
      </c>
      <c r="K3" s="3">
        <f>TRUNC([APLICAÇÃO]  * SETUP!$B$3, 2)</f>
        <v>0.24</v>
      </c>
      <c r="L3" s="3">
        <f>TRUNC([APLICAÇÃO]  * SETUP!$C$3, 2)</f>
        <v>0.6</v>
      </c>
      <c r="M3" s="3">
        <f>TRUNC(SETUP!$G$3  * SETUP!$H$3, 2)</f>
        <v>0.28999999999999998</v>
      </c>
      <c r="N3" s="3">
        <f>ROUND(SETUP!$G$3 * SETUP!$I$3, 2)</f>
        <v>0.57999999999999996</v>
      </c>
      <c r="O3" s="3">
        <f>SETUP!$G$3 + SUM(Tabela1[[#This Row],[EMOL CP]]:Tabela1[[#This Row],[OUTRAS CP]])</f>
        <v>16.93</v>
      </c>
      <c r="P3" s="3">
        <f>TRUNC([APLICAÇÃO] * 2  * SETUP!$A$3, 2)</f>
        <v>0.64</v>
      </c>
      <c r="Q3" s="3">
        <f>TRUNC([APLICAÇÃO] * 2  * SETUP!$B$3, 2)</f>
        <v>0.48</v>
      </c>
      <c r="R3" s="3">
        <f>TRUNC([APLICAÇÃO] * 2  * SETUP!$C$3, 2)</f>
        <v>1.21</v>
      </c>
      <c r="S3" s="3">
        <f>TRUNC(SETUP!$G$3  * SETUP!$H$3, 2)</f>
        <v>0.28999999999999998</v>
      </c>
      <c r="T3" s="3">
        <f>ROUND(SETUP!$G$3 * SETUP!$I$3, 2)</f>
        <v>0.57999999999999996</v>
      </c>
      <c r="U3" s="3">
        <f>SETUP!$G$3 + SUM(Tabela1[[#This Row],[EMOL VD]]:Tabela1[[#This Row],[OUTRAS VD]])</f>
        <v>18.100000000000001</v>
      </c>
      <c r="V3" s="3">
        <f>((([APLICAÇÃO] * 2) - [TAXA VD]) - ([APLICAÇÃO] + [TAXA CP])) * 0.85</f>
        <v>712.59750000000008</v>
      </c>
      <c r="W3" s="11">
        <f>[APLICAÇÃO] - (ROUND([RENDA FIXA] * 0.1,2))</f>
        <v>844.03</v>
      </c>
      <c r="X3" s="4">
        <f>Tabela1[[#This Row],[PERDA MAX]]/Tabela1[[#This Row],[APLICAÇÃO]]</f>
        <v>0.96639492546199823</v>
      </c>
      <c r="Y3" s="4">
        <f>IF([LUCRO] &lt; ([RENDA FIXA]/2), 0.8, 0.8)</f>
        <v>0.8</v>
      </c>
      <c r="Z3" s="3">
        <f>IF([LUCRO] &lt; 0, 0, ROUND([LUCRO]*[NO BOLSO], 2))</f>
        <v>0</v>
      </c>
      <c r="AA3" s="3">
        <f>[LUCRO]-[PROTEÇÃO MÊS]</f>
        <v>0</v>
      </c>
      <c r="AB3" s="3">
        <f>[RENDA FIXA] + [PROTEÇÃO MÊS] - [APORTE RF]</f>
        <v>293.5</v>
      </c>
      <c r="AC3" s="6">
        <f>[TOT RF] + [REINVESTIR] + [APLICAÇÃO]</f>
        <v>1166.8800000000001</v>
      </c>
      <c r="AD3" s="36">
        <f>IF([RENDA FIXA] &gt; 0, [PROTEÇÃO MÊS] / [RENDA FIXA], 0)</f>
        <v>0</v>
      </c>
    </row>
    <row r="4" spans="1:30">
      <c r="A4" s="1">
        <v>3</v>
      </c>
      <c r="B4" s="20">
        <v>41061</v>
      </c>
      <c r="C4" s="3">
        <v>293.5</v>
      </c>
      <c r="D4" s="3"/>
      <c r="E4" s="3"/>
      <c r="F4" s="3">
        <v>780.05</v>
      </c>
      <c r="G4" s="6">
        <f>400</f>
        <v>400</v>
      </c>
      <c r="H4" s="6">
        <f>SUMPRODUCT(N([TRADE] &lt;= Tabela1[[#This Row],[TRADE]]), [APORTE]) + SUMPRODUCT(N([TRADE] &lt;= Tabela1[[#This Row],[TRADE]]), [APORTE RF])</f>
        <v>1200</v>
      </c>
      <c r="I4" s="6">
        <f>[MONTANTE] - SUMPRODUCT(N([TRADE] &lt;= Tabela1[[#This Row],[TRADE]]), [SAQUE]) + SUMPRODUCT(N([TRADE] &lt; Tabela1[[#This Row],[TRADE]]), [REINVESTIR])</f>
        <v>1273.3800000000001</v>
      </c>
      <c r="J4" s="6">
        <f>TRUNC([APLICAÇÃO]  * SETUP!$A$3, 2)</f>
        <v>0.47</v>
      </c>
      <c r="K4" s="6">
        <f>TRUNC([APLICAÇÃO]  * SETUP!$B$3, 2)</f>
        <v>0.35</v>
      </c>
      <c r="L4" s="6">
        <f>TRUNC([APLICAÇÃO]  * SETUP!$C$3, 2)</f>
        <v>0.88</v>
      </c>
      <c r="M4" s="6">
        <f>TRUNC(SETUP!$G$3  * SETUP!$H$3, 2)</f>
        <v>0.28999999999999998</v>
      </c>
      <c r="N4" s="6">
        <f>ROUND(SETUP!$G$3 * SETUP!$I$3, 2)</f>
        <v>0.57999999999999996</v>
      </c>
      <c r="O4" s="6">
        <f>SETUP!$G$3 + SUM(Tabela1[[#This Row],[EMOL CP]]:Tabela1[[#This Row],[OUTRAS CP]])</f>
        <v>17.47</v>
      </c>
      <c r="P4" s="6">
        <f>TRUNC([APLICAÇÃO] * 2  * SETUP!$A$3, 2)</f>
        <v>0.94</v>
      </c>
      <c r="Q4" s="6">
        <f>TRUNC([APLICAÇÃO] * 2  * SETUP!$B$3, 2)</f>
        <v>0.7</v>
      </c>
      <c r="R4" s="6">
        <f>TRUNC([APLICAÇÃO] * 2  * SETUP!$C$3, 2)</f>
        <v>1.76</v>
      </c>
      <c r="S4" s="6">
        <f>TRUNC(SETUP!$G$3  * SETUP!$H$3, 2)</f>
        <v>0.28999999999999998</v>
      </c>
      <c r="T4" s="6">
        <f>ROUND(SETUP!$G$3 * SETUP!$I$3, 2)</f>
        <v>0.57999999999999996</v>
      </c>
      <c r="U4" s="6">
        <f>SETUP!$G$3 + SUM(Tabela1[[#This Row],[EMOL VD]]:Tabela1[[#This Row],[OUTRAS VD]])</f>
        <v>19.170000000000002</v>
      </c>
      <c r="V4" s="6">
        <f>((([APLICAÇÃO] * 2) - [TAXA VD]) - ([APLICAÇÃO] + [TAXA CP])) * 0.85</f>
        <v>1051.229</v>
      </c>
      <c r="W4" s="14">
        <f>[APLICAÇÃO] - (ROUND([RENDA FIXA] * 0.1,2))</f>
        <v>1244.0300000000002</v>
      </c>
      <c r="X4" s="4">
        <f>Tabela1[[#This Row],[PERDA MAX]]/Tabela1[[#This Row],[APLICAÇÃO]]</f>
        <v>0.97695110650395023</v>
      </c>
      <c r="Y4" s="4">
        <f>IF([LUCRO] &lt; ([RENDA FIXA]/2), 0.8, 0.8)</f>
        <v>0.8</v>
      </c>
      <c r="Z4" s="6">
        <f>IF([LUCRO] &lt; 0, 0, ROUND([LUCRO]*[NO BOLSO], 2))</f>
        <v>624.04</v>
      </c>
      <c r="AA4" s="6">
        <f>[LUCRO]-[PROTEÇÃO MÊS]</f>
        <v>156.01</v>
      </c>
      <c r="AB4" s="6">
        <f>[RENDA FIXA] + [PROTEÇÃO MÊS] - [APORTE RF]</f>
        <v>917.54</v>
      </c>
      <c r="AC4" s="6">
        <f>[TOT RF] + [REINVESTIR] + [APLICAÇÃO]</f>
        <v>2346.9300000000003</v>
      </c>
      <c r="AD4" s="36">
        <f>IF([RENDA FIXA] &gt; 0, [PROTEÇÃO MÊS] / [RENDA FIXA], 0)</f>
        <v>2.1262010221465077</v>
      </c>
    </row>
    <row r="5" spans="1:30">
      <c r="A5" s="1">
        <v>4</v>
      </c>
      <c r="B5" s="20">
        <v>41091</v>
      </c>
      <c r="C5" s="3">
        <v>917.54</v>
      </c>
      <c r="D5" s="3"/>
      <c r="E5" s="3"/>
      <c r="F5" s="3">
        <v>1521.94</v>
      </c>
      <c r="G5" s="6">
        <f>400</f>
        <v>400</v>
      </c>
      <c r="H5" s="6">
        <f>SUMPRODUCT(N([TRADE] &lt;= Tabela1[[#This Row],[TRADE]]), [APORTE]) + SUMPRODUCT(N([TRADE] &lt;= Tabela1[[#This Row],[TRADE]]), [APORTE RF])</f>
        <v>1600</v>
      </c>
      <c r="I5" s="6">
        <f>[MONTANTE] - SUMPRODUCT(N([TRADE] &lt;= Tabela1[[#This Row],[TRADE]]), [SAQUE]) + SUMPRODUCT(N([TRADE] &lt; Tabela1[[#This Row],[TRADE]]), [REINVESTIR])</f>
        <v>1829.3899999999999</v>
      </c>
      <c r="J5" s="6">
        <f>TRUNC([APLICAÇÃO]  * SETUP!$A$3, 2)</f>
        <v>0.67</v>
      </c>
      <c r="K5" s="6">
        <f>TRUNC([APLICAÇÃO]  * SETUP!$B$3, 2)</f>
        <v>0.5</v>
      </c>
      <c r="L5" s="6">
        <f>TRUNC([APLICAÇÃO]  * SETUP!$C$3, 2)</f>
        <v>1.27</v>
      </c>
      <c r="M5" s="6">
        <f>TRUNC(SETUP!$G$3  * SETUP!$H$3, 2)</f>
        <v>0.28999999999999998</v>
      </c>
      <c r="N5" s="6">
        <f>ROUND(SETUP!$G$3 * SETUP!$I$3, 2)</f>
        <v>0.57999999999999996</v>
      </c>
      <c r="O5" s="6">
        <f>SETUP!$G$3 + SUM(Tabela1[[#This Row],[EMOL CP]]:Tabela1[[#This Row],[OUTRAS CP]])</f>
        <v>18.21</v>
      </c>
      <c r="P5" s="6">
        <f>TRUNC([APLICAÇÃO] * 2  * SETUP!$A$3, 2)</f>
        <v>1.35</v>
      </c>
      <c r="Q5" s="6">
        <f>TRUNC([APLICAÇÃO] * 2  * SETUP!$B$3, 2)</f>
        <v>1</v>
      </c>
      <c r="R5" s="6">
        <f>TRUNC([APLICAÇÃO] * 2  * SETUP!$C$3, 2)</f>
        <v>2.54</v>
      </c>
      <c r="S5" s="6">
        <f>TRUNC(SETUP!$G$3  * SETUP!$H$3, 2)</f>
        <v>0.28999999999999998</v>
      </c>
      <c r="T5" s="6">
        <f>ROUND(SETUP!$G$3 * SETUP!$I$3, 2)</f>
        <v>0.57999999999999996</v>
      </c>
      <c r="U5" s="6">
        <f>SETUP!$G$3 + SUM(Tabela1[[#This Row],[EMOL VD]]:Tabela1[[#This Row],[OUTRAS VD]])</f>
        <v>20.66</v>
      </c>
      <c r="V5" s="6">
        <f>((([APLICAÇÃO] * 2) - [TAXA VD]) - ([APLICAÇÃO] + [TAXA CP])) * 0.85</f>
        <v>1521.942</v>
      </c>
      <c r="W5" s="14">
        <f>[APLICAÇÃO] - (ROUND([RENDA FIXA] * 0.1,2))</f>
        <v>1737.6399999999999</v>
      </c>
      <c r="X5" s="4">
        <f>Tabela1[[#This Row],[PERDA MAX]]/Tabela1[[#This Row],[APLICAÇÃO]]</f>
        <v>0.94984667020154256</v>
      </c>
      <c r="Y5" s="4">
        <f>IF([LUCRO] &lt; ([RENDA FIXA]/2), 0.8, 0.8)</f>
        <v>0.8</v>
      </c>
      <c r="Z5" s="6">
        <f>IF([LUCRO] &lt; 0, 0, ROUND([LUCRO]*[NO BOLSO], 2))</f>
        <v>1217.55</v>
      </c>
      <c r="AA5" s="6">
        <f>[LUCRO]-[PROTEÇÃO MÊS]</f>
        <v>304.3900000000001</v>
      </c>
      <c r="AB5" s="6">
        <f>[RENDA FIXA] + [PROTEÇÃO MÊS] - [APORTE RF]</f>
        <v>2135.09</v>
      </c>
      <c r="AC5" s="6">
        <f>[TOT RF] + [REINVESTIR] + [APLICAÇÃO]</f>
        <v>4268.8700000000008</v>
      </c>
      <c r="AD5" s="36">
        <f>IF([RENDA FIXA] &gt; 0, [PROTEÇÃO MÊS] / [RENDA FIXA], 0)</f>
        <v>1.3269721211064367</v>
      </c>
    </row>
    <row r="6" spans="1:30">
      <c r="A6" s="1">
        <v>5</v>
      </c>
      <c r="B6" s="20">
        <v>41122</v>
      </c>
      <c r="C6" s="3">
        <v>2135.09</v>
      </c>
      <c r="D6" s="3"/>
      <c r="E6" s="3"/>
      <c r="F6" s="3">
        <v>2147.89</v>
      </c>
      <c r="G6" s="6">
        <f>435</f>
        <v>435</v>
      </c>
      <c r="H6" s="6">
        <f>SUMPRODUCT(N([TRADE] &lt;= Tabela1[[#This Row],[TRADE]]), [APORTE]) + SUMPRODUCT(N([TRADE] &lt;= Tabela1[[#This Row],[TRADE]]), [APORTE RF])</f>
        <v>2035</v>
      </c>
      <c r="I6" s="6">
        <f>[MONTANTE] - SUMPRODUCT(N([TRADE] &lt;= Tabela1[[#This Row],[TRADE]]), [SAQUE]) + SUMPRODUCT(N([TRADE] &lt; Tabela1[[#This Row],[TRADE]]), [REINVESTIR])</f>
        <v>2568.7800000000002</v>
      </c>
      <c r="J6" s="6">
        <f>TRUNC([APLICAÇÃO]  * SETUP!$A$3, 2)</f>
        <v>0.95</v>
      </c>
      <c r="K6" s="6">
        <f>TRUNC([APLICAÇÃO]  * SETUP!$B$3, 2)</f>
        <v>0.7</v>
      </c>
      <c r="L6" s="6">
        <f>TRUNC([APLICAÇÃO]  * SETUP!$C$3, 2)</f>
        <v>1.78</v>
      </c>
      <c r="M6" s="6">
        <f>TRUNC(SETUP!$G$3  * SETUP!$H$3, 2)</f>
        <v>0.28999999999999998</v>
      </c>
      <c r="N6" s="6">
        <f>ROUND(SETUP!$G$3 * SETUP!$I$3, 2)</f>
        <v>0.57999999999999996</v>
      </c>
      <c r="O6" s="6">
        <f>SETUP!$G$3 + SUM(Tabela1[[#This Row],[EMOL CP]]:Tabela1[[#This Row],[OUTRAS CP]])</f>
        <v>19.2</v>
      </c>
      <c r="P6" s="6">
        <f>TRUNC([APLICAÇÃO] * 2  * SETUP!$A$3, 2)</f>
        <v>1.9</v>
      </c>
      <c r="Q6" s="6">
        <f>TRUNC([APLICAÇÃO] * 2  * SETUP!$B$3, 2)</f>
        <v>1.41</v>
      </c>
      <c r="R6" s="6">
        <f>TRUNC([APLICAÇÃO] * 2  * SETUP!$C$3, 2)</f>
        <v>3.57</v>
      </c>
      <c r="S6" s="6">
        <f>TRUNC(SETUP!$G$3  * SETUP!$H$3, 2)</f>
        <v>0.28999999999999998</v>
      </c>
      <c r="T6" s="6">
        <f>ROUND(SETUP!$G$3 * SETUP!$I$3, 2)</f>
        <v>0.57999999999999996</v>
      </c>
      <c r="U6" s="6">
        <f>SETUP!$G$3 + SUM(Tabela1[[#This Row],[EMOL VD]]:Tabela1[[#This Row],[OUTRAS VD]])</f>
        <v>22.65</v>
      </c>
      <c r="V6" s="6">
        <f>((([APLICAÇÃO] * 2) - [TAXA VD]) - ([APLICAÇÃO] + [TAXA CP])) * 0.85</f>
        <v>2147.8905000000004</v>
      </c>
      <c r="W6" s="14">
        <f>[APLICAÇÃO] - (ROUND([RENDA FIXA] * 0.1,2))</f>
        <v>2355.2700000000004</v>
      </c>
      <c r="X6" s="4">
        <f>Tabela1[[#This Row],[PERDA MAX]]/Tabela1[[#This Row],[APLICAÇÃO]]</f>
        <v>0.9168827225375471</v>
      </c>
      <c r="Y6" s="15">
        <f>IF([LUCRO] &lt; ([RENDA FIXA]/2), 0.8, 0.8)</f>
        <v>0.8</v>
      </c>
      <c r="Z6" s="6">
        <f>IF([LUCRO] &lt; 0, 0, ROUND([LUCRO]*[NO BOLSO], 2))</f>
        <v>1718.31</v>
      </c>
      <c r="AA6" s="6">
        <f>[LUCRO]-[PROTEÇÃO MÊS]</f>
        <v>429.57999999999993</v>
      </c>
      <c r="AB6" s="6">
        <f>[RENDA FIXA] + [PROTEÇÃO MÊS] - [APORTE RF]</f>
        <v>3853.4</v>
      </c>
      <c r="AC6" s="6">
        <f>[TOT RF] + [REINVESTIR] + [APLICAÇÃO]</f>
        <v>6851.76</v>
      </c>
      <c r="AD6" s="36">
        <f>IF([RENDA FIXA] &gt; 0, [PROTEÇÃO MÊS] / [RENDA FIXA], 0)</f>
        <v>0.8047951140232964</v>
      </c>
    </row>
    <row r="7" spans="1:30">
      <c r="A7" s="1">
        <v>6</v>
      </c>
      <c r="B7" s="20">
        <v>41153</v>
      </c>
      <c r="C7" s="3">
        <v>3853.4</v>
      </c>
      <c r="D7" s="3"/>
      <c r="E7" s="3"/>
      <c r="F7" s="3">
        <v>2879.83</v>
      </c>
      <c r="G7" s="6">
        <f>435</f>
        <v>435</v>
      </c>
      <c r="H7" s="6">
        <f>SUMPRODUCT(N([TRADE] &lt;= Tabela1[[#This Row],[TRADE]]), [APORTE]) + SUMPRODUCT(N([TRADE] &lt;= Tabela1[[#This Row],[TRADE]]), [APORTE RF])</f>
        <v>2470</v>
      </c>
      <c r="I7" s="6">
        <f>[MONTANTE] - SUMPRODUCT(N([TRADE] &lt;= Tabela1[[#This Row],[TRADE]]), [SAQUE]) + SUMPRODUCT(N([TRADE] &lt; Tabela1[[#This Row],[TRADE]]), [REINVESTIR])</f>
        <v>3433.36</v>
      </c>
      <c r="J7" s="6">
        <f>TRUNC([APLICAÇÃO]  * SETUP!$A$3, 2)</f>
        <v>1.27</v>
      </c>
      <c r="K7" s="6">
        <f>TRUNC([APLICAÇÃO]  * SETUP!$B$3, 2)</f>
        <v>0.94</v>
      </c>
      <c r="L7" s="6">
        <f>TRUNC([APLICAÇÃO]  * SETUP!$C$3, 2)</f>
        <v>2.38</v>
      </c>
      <c r="M7" s="6">
        <f>TRUNC(SETUP!$G$3  * SETUP!$H$3, 2)</f>
        <v>0.28999999999999998</v>
      </c>
      <c r="N7" s="6">
        <f>ROUND(SETUP!$G$3 * SETUP!$I$3, 2)</f>
        <v>0.57999999999999996</v>
      </c>
      <c r="O7" s="6">
        <f>SETUP!$G$3 + SUM(Tabela1[[#This Row],[EMOL CP]]:Tabela1[[#This Row],[OUTRAS CP]])</f>
        <v>20.36</v>
      </c>
      <c r="P7" s="6">
        <f>TRUNC([APLICAÇÃO] * 2  * SETUP!$A$3, 2)</f>
        <v>2.54</v>
      </c>
      <c r="Q7" s="6">
        <f>TRUNC([APLICAÇÃO] * 2  * SETUP!$B$3, 2)</f>
        <v>1.88</v>
      </c>
      <c r="R7" s="6">
        <f>TRUNC([APLICAÇÃO] * 2  * SETUP!$C$3, 2)</f>
        <v>4.7699999999999996</v>
      </c>
      <c r="S7" s="6">
        <f>TRUNC(SETUP!$G$3  * SETUP!$H$3, 2)</f>
        <v>0.28999999999999998</v>
      </c>
      <c r="T7" s="6">
        <f>ROUND(SETUP!$G$3 * SETUP!$I$3, 2)</f>
        <v>0.57999999999999996</v>
      </c>
      <c r="U7" s="6">
        <f>SETUP!$G$3 + SUM(Tabela1[[#This Row],[EMOL VD]]:Tabela1[[#This Row],[OUTRAS VD]])</f>
        <v>24.96</v>
      </c>
      <c r="V7" s="6">
        <f>((([APLICAÇÃO] * 2) - [TAXA VD]) - ([APLICAÇÃO] + [TAXA CP])) * 0.85</f>
        <v>2879.8339999999998</v>
      </c>
      <c r="W7" s="14">
        <f>[APLICAÇÃO] - (ROUND([RENDA FIXA] * 0.1,2))</f>
        <v>3048.02</v>
      </c>
      <c r="X7" s="4">
        <f>Tabela1[[#This Row],[PERDA MAX]]/Tabela1[[#This Row],[APLICAÇÃO]]</f>
        <v>0.88776592026469692</v>
      </c>
      <c r="Y7" s="15">
        <f>IF([LUCRO] &lt; ([RENDA FIXA]/2), 0.8, 0.8)</f>
        <v>0.8</v>
      </c>
      <c r="Z7" s="6">
        <f>IF([LUCRO] &lt; 0, 0, ROUND([LUCRO]*[NO BOLSO], 2))</f>
        <v>2303.86</v>
      </c>
      <c r="AA7" s="6">
        <f>[LUCRO]-[PROTEÇÃO MÊS]</f>
        <v>575.9699999999998</v>
      </c>
      <c r="AB7" s="6">
        <f>[RENDA FIXA] + [PROTEÇÃO MÊS] - [APORTE RF]</f>
        <v>6157.26</v>
      </c>
      <c r="AC7" s="6">
        <f>[TOT RF] + [REINVESTIR] + [APLICAÇÃO]</f>
        <v>10166.59</v>
      </c>
      <c r="AD7" s="36">
        <f>IF([RENDA FIXA] &gt; 0, [PROTEÇÃO MÊS] / [RENDA FIXA], 0)</f>
        <v>0.59787719935641259</v>
      </c>
    </row>
    <row r="8" spans="1:30">
      <c r="A8" s="1">
        <v>7</v>
      </c>
      <c r="B8" s="20">
        <v>41183</v>
      </c>
      <c r="C8" s="3">
        <v>6157.26</v>
      </c>
      <c r="D8" s="3"/>
      <c r="E8" s="3"/>
      <c r="F8" s="3">
        <v>3735.72</v>
      </c>
      <c r="G8" s="6">
        <f>435</f>
        <v>435</v>
      </c>
      <c r="H8" s="6">
        <f>SUMPRODUCT(N([TRADE] &lt;= Tabela1[[#This Row],[TRADE]]), [APORTE]) + SUMPRODUCT(N([TRADE] &lt;= Tabela1[[#This Row],[TRADE]]), [APORTE RF])</f>
        <v>2905</v>
      </c>
      <c r="I8" s="6">
        <f>[MONTANTE] - SUMPRODUCT(N([TRADE] &lt;= Tabela1[[#This Row],[TRADE]]), [SAQUE]) + SUMPRODUCT(N([TRADE] &lt; Tabela1[[#This Row],[TRADE]]), [REINVESTIR])</f>
        <v>4444.33</v>
      </c>
      <c r="J8" s="6">
        <f>TRUNC([APLICAÇÃO]  * SETUP!$A$3, 2)</f>
        <v>1.64</v>
      </c>
      <c r="K8" s="6">
        <f>TRUNC([APLICAÇÃO]  * SETUP!$B$3, 2)</f>
        <v>1.22</v>
      </c>
      <c r="L8" s="6">
        <f>TRUNC([APLICAÇÃO]  * SETUP!$C$3, 2)</f>
        <v>3.08</v>
      </c>
      <c r="M8" s="6">
        <f>TRUNC(SETUP!$G$3  * SETUP!$H$3, 2)</f>
        <v>0.28999999999999998</v>
      </c>
      <c r="N8" s="6">
        <f>ROUND(SETUP!$G$3 * SETUP!$I$3, 2)</f>
        <v>0.57999999999999996</v>
      </c>
      <c r="O8" s="6">
        <f>SETUP!$G$3 + SUM(Tabela1[[#This Row],[EMOL CP]]:Tabela1[[#This Row],[OUTRAS CP]])</f>
        <v>21.71</v>
      </c>
      <c r="P8" s="6">
        <f>TRUNC([APLICAÇÃO] * 2  * SETUP!$A$3, 2)</f>
        <v>3.28</v>
      </c>
      <c r="Q8" s="6">
        <f>TRUNC([APLICAÇÃO] * 2  * SETUP!$B$3, 2)</f>
        <v>2.44</v>
      </c>
      <c r="R8" s="6">
        <f>TRUNC([APLICAÇÃO] * 2  * SETUP!$C$3, 2)</f>
        <v>6.17</v>
      </c>
      <c r="S8" s="6">
        <f>TRUNC(SETUP!$G$3  * SETUP!$H$3, 2)</f>
        <v>0.28999999999999998</v>
      </c>
      <c r="T8" s="6">
        <f>ROUND(SETUP!$G$3 * SETUP!$I$3, 2)</f>
        <v>0.57999999999999996</v>
      </c>
      <c r="U8" s="6">
        <f>SETUP!$G$3 + SUM(Tabela1[[#This Row],[EMOL VD]]:Tabela1[[#This Row],[OUTRAS VD]])</f>
        <v>27.66</v>
      </c>
      <c r="V8" s="6">
        <f>((([APLICAÇÃO] * 2) - [TAXA VD]) - ([APLICAÇÃO] + [TAXA CP])) * 0.85</f>
        <v>3735.7159999999999</v>
      </c>
      <c r="W8" s="14">
        <f>[APLICAÇÃO] - (ROUND([RENDA FIXA] * 0.1,2))</f>
        <v>3828.6</v>
      </c>
      <c r="X8" s="4">
        <f>Tabela1[[#This Row],[PERDA MAX]]/Tabela1[[#This Row],[APLICAÇÃO]]</f>
        <v>0.86145718252244996</v>
      </c>
      <c r="Y8" s="15">
        <f>IF([LUCRO] &lt; ([RENDA FIXA]/2), 0.8, 0.8)</f>
        <v>0.8</v>
      </c>
      <c r="Z8" s="6">
        <f>IF([LUCRO] &lt; 0, 0, ROUND([LUCRO]*[NO BOLSO], 2))</f>
        <v>2988.58</v>
      </c>
      <c r="AA8" s="6">
        <f>[LUCRO]-[PROTEÇÃO MÊS]</f>
        <v>747.13999999999987</v>
      </c>
      <c r="AB8" s="6">
        <f>[RENDA FIXA] + [PROTEÇÃO MÊS] - [APORTE RF]</f>
        <v>9145.84</v>
      </c>
      <c r="AC8" s="6">
        <f>[TOT RF] + [REINVESTIR] + [APLICAÇÃO]</f>
        <v>14337.31</v>
      </c>
      <c r="AD8" s="36">
        <f>IF([RENDA FIXA] &gt; 0, [PROTEÇÃO MÊS] / [RENDA FIXA], 0)</f>
        <v>0.48537498822528202</v>
      </c>
    </row>
    <row r="9" spans="1:30">
      <c r="A9" s="1">
        <v>8</v>
      </c>
      <c r="B9" s="20">
        <v>41214</v>
      </c>
      <c r="C9" s="3">
        <v>9145.84</v>
      </c>
      <c r="D9" s="3"/>
      <c r="E9" s="3"/>
      <c r="F9" s="3">
        <v>4990.4799999999996</v>
      </c>
      <c r="G9" s="6">
        <f>735</f>
        <v>735</v>
      </c>
      <c r="H9" s="6">
        <f>SUMPRODUCT(N([TRADE] &lt;= Tabela1[[#This Row],[TRADE]]), [APORTE]) + SUMPRODUCT(N([TRADE] &lt;= Tabela1[[#This Row],[TRADE]]), [APORTE RF])</f>
        <v>3640</v>
      </c>
      <c r="I9" s="6">
        <f>[MONTANTE] - SUMPRODUCT(N([TRADE] &lt;= Tabela1[[#This Row],[TRADE]]), [SAQUE]) + SUMPRODUCT(N([TRADE] &lt; Tabela1[[#This Row],[TRADE]]), [REINVESTIR])</f>
        <v>5926.4699999999993</v>
      </c>
      <c r="J9" s="6">
        <f>TRUNC([APLICAÇÃO]  * SETUP!$A$3, 2)</f>
        <v>2.19</v>
      </c>
      <c r="K9" s="6">
        <f>TRUNC([APLICAÇÃO]  * SETUP!$B$3, 2)</f>
        <v>1.62</v>
      </c>
      <c r="L9" s="6">
        <f>TRUNC([APLICAÇÃO]  * SETUP!$C$3, 2)</f>
        <v>4.1100000000000003</v>
      </c>
      <c r="M9" s="6">
        <f>TRUNC(SETUP!$G$3  * SETUP!$H$3, 2)</f>
        <v>0.28999999999999998</v>
      </c>
      <c r="N9" s="6">
        <f>ROUND(SETUP!$G$3 * SETUP!$I$3, 2)</f>
        <v>0.57999999999999996</v>
      </c>
      <c r="O9" s="6">
        <f>SETUP!$G$3 + SUM(Tabela1[[#This Row],[EMOL CP]]:Tabela1[[#This Row],[OUTRAS CP]])</f>
        <v>23.689999999999998</v>
      </c>
      <c r="P9" s="6">
        <f>TRUNC([APLICAÇÃO] * 2  * SETUP!$A$3, 2)</f>
        <v>4.38</v>
      </c>
      <c r="Q9" s="6">
        <f>TRUNC([APLICAÇÃO] * 2  * SETUP!$B$3, 2)</f>
        <v>3.25</v>
      </c>
      <c r="R9" s="6">
        <f>TRUNC([APLICAÇÃO] * 2  * SETUP!$C$3, 2)</f>
        <v>8.23</v>
      </c>
      <c r="S9" s="6">
        <f>TRUNC(SETUP!$G$3  * SETUP!$H$3, 2)</f>
        <v>0.28999999999999998</v>
      </c>
      <c r="T9" s="6">
        <f>ROUND(SETUP!$G$3 * SETUP!$I$3, 2)</f>
        <v>0.57999999999999996</v>
      </c>
      <c r="U9" s="6">
        <f>SETUP!$G$3 + SUM(Tabela1[[#This Row],[EMOL VD]]:Tabela1[[#This Row],[OUTRAS VD]])</f>
        <v>31.629999999999995</v>
      </c>
      <c r="V9" s="6">
        <f>((([APLICAÇÃO] * 2) - [TAXA VD]) - ([APLICAÇÃO] + [TAXA CP])) * 0.85</f>
        <v>4990.4775</v>
      </c>
      <c r="W9" s="14">
        <f>[APLICAÇÃO] - (ROUND([RENDA FIXA] * 0.1,2))</f>
        <v>5011.8899999999994</v>
      </c>
      <c r="X9" s="4">
        <f>Tabela1[[#This Row],[PERDA MAX]]/Tabela1[[#This Row],[APLICAÇÃO]]</f>
        <v>0.84567879361576115</v>
      </c>
      <c r="Y9" s="15">
        <f>IF([LUCRO] &lt; ([RENDA FIXA]/2), 0.8, 0.8)</f>
        <v>0.8</v>
      </c>
      <c r="Z9" s="6">
        <f>IF([LUCRO] &lt; 0, 0, ROUND([LUCRO]*[NO BOLSO], 2))</f>
        <v>3992.38</v>
      </c>
      <c r="AA9" s="6">
        <f>[LUCRO]-[PROTEÇÃO MÊS]</f>
        <v>998.09999999999945</v>
      </c>
      <c r="AB9" s="6">
        <f>[RENDA FIXA] + [PROTEÇÃO MÊS] - [APORTE RF]</f>
        <v>13138.220000000001</v>
      </c>
      <c r="AC9" s="6">
        <f>[TOT RF] + [REINVESTIR] + [APLICAÇÃO]</f>
        <v>20062.79</v>
      </c>
      <c r="AD9" s="36">
        <f>IF([RENDA FIXA] &gt; 0, [PROTEÇÃO MÊS] / [RENDA FIXA], 0)</f>
        <v>0.43652414649720528</v>
      </c>
    </row>
    <row r="10" spans="1:30">
      <c r="A10" s="1">
        <v>9</v>
      </c>
      <c r="B10" s="20">
        <v>41244</v>
      </c>
      <c r="C10" s="3">
        <v>13138.22</v>
      </c>
      <c r="D10" s="3"/>
      <c r="E10" s="3"/>
      <c r="F10" s="3">
        <v>6547.68</v>
      </c>
      <c r="G10" s="6">
        <f>735</f>
        <v>735</v>
      </c>
      <c r="H10" s="6">
        <f>SUMPRODUCT(N([TRADE] &lt;= Tabela1[[#This Row],[TRADE]]), [APORTE]) + SUMPRODUCT(N([TRADE] &lt;= Tabela1[[#This Row],[TRADE]]), [APORTE RF])</f>
        <v>4375</v>
      </c>
      <c r="I10" s="6">
        <f>[MONTANTE] - SUMPRODUCT(N([TRADE] &lt;= Tabela1[[#This Row],[TRADE]]), [SAQUE]) + SUMPRODUCT(N([TRADE] &lt; Tabela1[[#This Row],[TRADE]]), [REINVESTIR])</f>
        <v>7659.57</v>
      </c>
      <c r="J10" s="6">
        <f>TRUNC([APLICAÇÃO]  * SETUP!$A$3, 2)</f>
        <v>2.83</v>
      </c>
      <c r="K10" s="6">
        <f>TRUNC([APLICAÇÃO]  * SETUP!$B$3, 2)</f>
        <v>2.1</v>
      </c>
      <c r="L10" s="6">
        <f>TRUNC([APLICAÇÃO]  * SETUP!$C$3, 2)</f>
        <v>5.32</v>
      </c>
      <c r="M10" s="6">
        <f>TRUNC(SETUP!$G$3  * SETUP!$H$3, 2)</f>
        <v>0.28999999999999998</v>
      </c>
      <c r="N10" s="6">
        <f>ROUND(SETUP!$G$3 * SETUP!$I$3, 2)</f>
        <v>0.57999999999999996</v>
      </c>
      <c r="O10" s="6">
        <f>SETUP!$G$3 + SUM(Tabela1[[#This Row],[EMOL CP]]:Tabela1[[#This Row],[OUTRAS CP]])</f>
        <v>26.02</v>
      </c>
      <c r="P10" s="6">
        <f>TRUNC([APLICAÇÃO] * 2  * SETUP!$A$3, 2)</f>
        <v>5.66</v>
      </c>
      <c r="Q10" s="6">
        <f>TRUNC([APLICAÇÃO] * 2  * SETUP!$B$3, 2)</f>
        <v>4.21</v>
      </c>
      <c r="R10" s="6">
        <f>TRUNC([APLICAÇÃO] * 2  * SETUP!$C$3, 2)</f>
        <v>10.64</v>
      </c>
      <c r="S10" s="6">
        <f>TRUNC(SETUP!$G$3  * SETUP!$H$3, 2)</f>
        <v>0.28999999999999998</v>
      </c>
      <c r="T10" s="6">
        <f>ROUND(SETUP!$G$3 * SETUP!$I$3, 2)</f>
        <v>0.57999999999999996</v>
      </c>
      <c r="U10" s="6">
        <f>SETUP!$G$3 + SUM(Tabela1[[#This Row],[EMOL VD]]:Tabela1[[#This Row],[OUTRAS VD]])</f>
        <v>36.28</v>
      </c>
      <c r="V10" s="6">
        <f>((([APLICAÇÃO] * 2) - [TAXA VD]) - ([APLICAÇÃO] + [TAXA CP])) * 0.85</f>
        <v>6457.6794999999984</v>
      </c>
      <c r="W10" s="14">
        <f>[APLICAÇÃO] - (ROUND([RENDA FIXA] * 0.1,2))</f>
        <v>6345.75</v>
      </c>
      <c r="X10" s="4">
        <f>Tabela1[[#This Row],[PERDA MAX]]/Tabela1[[#This Row],[APLICAÇÃO]]</f>
        <v>0.82847339994281666</v>
      </c>
      <c r="Y10" s="15">
        <f>IF([LUCRO] &lt; ([RENDA FIXA]/2), 0.8, 0.8)</f>
        <v>0.8</v>
      </c>
      <c r="Z10" s="6">
        <f>IF([LUCRO] &lt; 0, 0, ROUND([LUCRO]*[NO BOLSO], 2))</f>
        <v>5238.1400000000003</v>
      </c>
      <c r="AA10" s="6">
        <f>[LUCRO]-[PROTEÇÃO MÊS]</f>
        <v>1309.54</v>
      </c>
      <c r="AB10" s="6">
        <f>[RENDA FIXA] + [PROTEÇÃO MÊS] - [APORTE RF]</f>
        <v>18376.36</v>
      </c>
      <c r="AC10" s="6">
        <f>[TOT RF] + [REINVESTIR] + [APLICAÇÃO]</f>
        <v>27345.47</v>
      </c>
      <c r="AD10" s="36">
        <f>IF([RENDA FIXA] &gt; 0, [PROTEÇÃO MÊS] / [RENDA FIXA], 0)</f>
        <v>0.39869480036108396</v>
      </c>
    </row>
    <row r="11" spans="1:30">
      <c r="A11" s="1">
        <v>10</v>
      </c>
      <c r="B11" s="20">
        <v>41275</v>
      </c>
      <c r="C11" s="3">
        <v>18376.36</v>
      </c>
      <c r="D11" s="3"/>
      <c r="E11" s="3"/>
      <c r="F11" s="3">
        <v>8188.55</v>
      </c>
      <c r="G11" s="6">
        <v>735</v>
      </c>
      <c r="H11" s="6">
        <f>SUMPRODUCT(N([TRADE] &lt;= Tabela1[[#This Row],[TRADE]]), [APORTE]) + SUMPRODUCT(N([TRADE] &lt;= Tabela1[[#This Row],[TRADE]]), [APORTE RF])</f>
        <v>5110</v>
      </c>
      <c r="I11" s="6">
        <f>[MONTANTE] - SUMPRODUCT(N([TRADE] &lt;= Tabela1[[#This Row],[TRADE]]), [SAQUE]) + SUMPRODUCT(N([TRADE] &lt; Tabela1[[#This Row],[TRADE]]), [REINVESTIR])</f>
        <v>9704.1099999999988</v>
      </c>
      <c r="J11" s="6">
        <f>TRUNC([APLICAÇÃO]  * SETUP!$A$3, 2)</f>
        <v>3.59</v>
      </c>
      <c r="K11" s="6">
        <f>TRUNC([APLICAÇÃO]  * SETUP!$B$3, 2)</f>
        <v>2.66</v>
      </c>
      <c r="L11" s="6">
        <f>TRUNC([APLICAÇÃO]  * SETUP!$C$3, 2)</f>
        <v>6.74</v>
      </c>
      <c r="M11" s="6">
        <f>TRUNC(SETUP!$G$3  * SETUP!$H$3, 2)</f>
        <v>0.28999999999999998</v>
      </c>
      <c r="N11" s="6">
        <f>ROUND(SETUP!$G$3 * SETUP!$I$3, 2)</f>
        <v>0.57999999999999996</v>
      </c>
      <c r="O11" s="6">
        <f>SETUP!$G$3 + SUM(Tabela1[[#This Row],[EMOL CP]]:Tabela1[[#This Row],[OUTRAS CP]])</f>
        <v>28.759999999999998</v>
      </c>
      <c r="P11" s="6">
        <f>TRUNC([APLICAÇÃO] * 2  * SETUP!$A$3, 2)</f>
        <v>7.18</v>
      </c>
      <c r="Q11" s="6">
        <f>TRUNC([APLICAÇÃO] * 2  * SETUP!$B$3, 2)</f>
        <v>5.33</v>
      </c>
      <c r="R11" s="6">
        <f>TRUNC([APLICAÇÃO] * 2  * SETUP!$C$3, 2)</f>
        <v>13.48</v>
      </c>
      <c r="S11" s="6">
        <f>TRUNC(SETUP!$G$3  * SETUP!$H$3, 2)</f>
        <v>0.28999999999999998</v>
      </c>
      <c r="T11" s="6">
        <f>ROUND(SETUP!$G$3 * SETUP!$I$3, 2)</f>
        <v>0.57999999999999996</v>
      </c>
      <c r="U11" s="6">
        <f>SETUP!$G$3 + SUM(Tabela1[[#This Row],[EMOL VD]]:Tabela1[[#This Row],[OUTRAS VD]])</f>
        <v>41.76</v>
      </c>
      <c r="V11" s="6">
        <f>((([APLICAÇÃO] * 2) - [TAXA VD]) - ([APLICAÇÃO] + [TAXA CP])) * 0.85</f>
        <v>8188.5514999999996</v>
      </c>
      <c r="W11" s="14">
        <f>[APLICAÇÃO] - (ROUND([RENDA FIXA] * 0.1,2))</f>
        <v>7866.4699999999984</v>
      </c>
      <c r="X11" s="4">
        <f>Tabela1[[#This Row],[PERDA MAX]]/Tabela1[[#This Row],[APLICAÇÃO]]</f>
        <v>0.81063281434361312</v>
      </c>
      <c r="Y11" s="15">
        <f>IF([LUCRO] &lt; ([RENDA FIXA]/2), 0.8, 0.8)</f>
        <v>0.8</v>
      </c>
      <c r="Z11" s="6">
        <f>IF([LUCRO] &lt; 0, 0, ROUND([LUCRO]*[NO BOLSO], 2))</f>
        <v>6550.84</v>
      </c>
      <c r="AA11" s="6">
        <f>[LUCRO]-[PROTEÇÃO MÊS]</f>
        <v>1637.71</v>
      </c>
      <c r="AB11" s="6">
        <f>[RENDA FIXA] + [PROTEÇÃO MÊS] - [APORTE RF]</f>
        <v>24927.200000000001</v>
      </c>
      <c r="AC11" s="6">
        <f>[TOT RF] + [REINVESTIR] + [APLICAÇÃO]</f>
        <v>36269.019999999997</v>
      </c>
      <c r="AD11" s="4">
        <f>IF([RENDA FIXA] &gt; 0, [PROTEÇÃO MÊS] / [RENDA FIXA], 0)</f>
        <v>0.35648191480793801</v>
      </c>
    </row>
    <row r="12" spans="1:30">
      <c r="A12" s="1">
        <v>11</v>
      </c>
      <c r="B12" s="20">
        <v>41306</v>
      </c>
      <c r="C12" s="3">
        <v>24927.200000000001</v>
      </c>
      <c r="D12" s="3"/>
      <c r="E12" s="3"/>
      <c r="F12" s="3">
        <v>10197.25</v>
      </c>
      <c r="G12" s="6">
        <v>735</v>
      </c>
      <c r="H12" s="6">
        <f>SUMPRODUCT(N([TRADE] &lt;= Tabela1[[#This Row],[TRADE]]), [APORTE]) + SUMPRODUCT(N([TRADE] &lt;= Tabela1[[#This Row],[TRADE]]), [APORTE RF])</f>
        <v>5845</v>
      </c>
      <c r="I12" s="6">
        <f>[MONTANTE] - SUMPRODUCT(N([TRADE] &lt;= Tabela1[[#This Row],[TRADE]]), [SAQUE]) + SUMPRODUCT(N([TRADE] &lt; Tabela1[[#This Row],[TRADE]]), [REINVESTIR])</f>
        <v>12076.82</v>
      </c>
      <c r="J12" s="6">
        <f>TRUNC([APLICAÇÃO]  * SETUP!$A$3, 2)</f>
        <v>4.46</v>
      </c>
      <c r="K12" s="6">
        <f>TRUNC([APLICAÇÃO]  * SETUP!$B$3, 2)</f>
        <v>3.32</v>
      </c>
      <c r="L12" s="6">
        <f>TRUNC([APLICAÇÃO]  * SETUP!$C$3, 2)</f>
        <v>8.39</v>
      </c>
      <c r="M12" s="6">
        <f>TRUNC(SETUP!$G$3  * SETUP!$H$3, 2)</f>
        <v>0.28999999999999998</v>
      </c>
      <c r="N12" s="6">
        <f>ROUND(SETUP!$G$3 * SETUP!$I$3, 2)</f>
        <v>0.57999999999999996</v>
      </c>
      <c r="O12" s="6">
        <f>SETUP!$G$3 + SUM(Tabela1[[#This Row],[EMOL CP]]:Tabela1[[#This Row],[OUTRAS CP]])</f>
        <v>31.939999999999998</v>
      </c>
      <c r="P12" s="6">
        <f>TRUNC([APLICAÇÃO] * 2  * SETUP!$A$3, 2)</f>
        <v>8.93</v>
      </c>
      <c r="Q12" s="6">
        <f>TRUNC([APLICAÇÃO] * 2  * SETUP!$B$3, 2)</f>
        <v>6.64</v>
      </c>
      <c r="R12" s="6">
        <f>TRUNC([APLICAÇÃO] * 2  * SETUP!$C$3, 2)</f>
        <v>16.78</v>
      </c>
      <c r="S12" s="6">
        <f>TRUNC(SETUP!$G$3  * SETUP!$H$3, 2)</f>
        <v>0.28999999999999998</v>
      </c>
      <c r="T12" s="6">
        <f>ROUND(SETUP!$G$3 * SETUP!$I$3, 2)</f>
        <v>0.57999999999999996</v>
      </c>
      <c r="U12" s="6">
        <f>SETUP!$G$3 + SUM(Tabela1[[#This Row],[EMOL VD]]:Tabela1[[#This Row],[OUTRAS VD]])</f>
        <v>48.12</v>
      </c>
      <c r="V12" s="6">
        <f>((([APLICAÇÃO] * 2) - [TAXA VD]) - ([APLICAÇÃO] + [TAXA CP])) * 0.85</f>
        <v>10197.245999999999</v>
      </c>
      <c r="W12" s="14">
        <f>[APLICAÇÃO] - (ROUND([RENDA FIXA] * 0.1,2))</f>
        <v>9584.1</v>
      </c>
      <c r="X12" s="4">
        <f>Tabela1[[#This Row],[PERDA MAX]]/Tabela1[[#This Row],[APLICAÇÃO]]</f>
        <v>0.79359467144496654</v>
      </c>
      <c r="Y12" s="15">
        <f>IF([LUCRO] &lt; ([RENDA FIXA]/2), 0.8, 0.8)</f>
        <v>0.8</v>
      </c>
      <c r="Z12" s="6">
        <f>IF([LUCRO] &lt; 0, 0, ROUND([LUCRO]*[NO BOLSO], 2))</f>
        <v>8157.8</v>
      </c>
      <c r="AA12" s="6">
        <f>[LUCRO]-[PROTEÇÃO MÊS]</f>
        <v>2039.4499999999998</v>
      </c>
      <c r="AB12" s="6">
        <f>[RENDA FIXA] + [PROTEÇÃO MÊS] - [APORTE RF]</f>
        <v>33085</v>
      </c>
      <c r="AC12" s="6">
        <f>[TOT RF] + [REINVESTIR] + [APLICAÇÃO]</f>
        <v>47201.27</v>
      </c>
      <c r="AD12" s="4">
        <f>IF([RENDA FIXA] &gt; 0, [PROTEÇÃO MÊS] / [RENDA FIXA], 0)</f>
        <v>0.32726499566738343</v>
      </c>
    </row>
    <row r="13" spans="1:30">
      <c r="A13" s="1">
        <v>12</v>
      </c>
      <c r="B13" s="20">
        <v>41334</v>
      </c>
      <c r="C13" s="3">
        <v>33085</v>
      </c>
      <c r="D13" s="3"/>
      <c r="E13" s="3"/>
      <c r="F13" s="3">
        <v>12770.39</v>
      </c>
      <c r="G13" s="6">
        <v>1000</v>
      </c>
      <c r="H13" s="6">
        <f>SUMPRODUCT(N([TRADE] &lt;= Tabela1[[#This Row],[TRADE]]), [APORTE]) + SUMPRODUCT(N([TRADE] &lt;= Tabela1[[#This Row],[TRADE]]), [APORTE RF])</f>
        <v>6845</v>
      </c>
      <c r="I13" s="6">
        <f>[MONTANTE] - SUMPRODUCT(N([TRADE] &lt;= Tabela1[[#This Row],[TRADE]]), [SAQUE]) + SUMPRODUCT(N([TRADE] &lt; Tabela1[[#This Row],[TRADE]]), [REINVESTIR])</f>
        <v>15116.269999999999</v>
      </c>
      <c r="J13" s="6">
        <f>TRUNC([APLICAÇÃO]  * SETUP!$A$3, 2)</f>
        <v>5.59</v>
      </c>
      <c r="K13" s="6">
        <f>TRUNC([APLICAÇÃO]  * SETUP!$B$3, 2)</f>
        <v>4.1500000000000004</v>
      </c>
      <c r="L13" s="6">
        <f>TRUNC([APLICAÇÃO]  * SETUP!$C$3, 2)</f>
        <v>10.5</v>
      </c>
      <c r="M13" s="6">
        <f>TRUNC(SETUP!$G$3  * SETUP!$H$3, 2)</f>
        <v>0.28999999999999998</v>
      </c>
      <c r="N13" s="6">
        <f>ROUND(SETUP!$G$3 * SETUP!$I$3, 2)</f>
        <v>0.57999999999999996</v>
      </c>
      <c r="O13" s="6">
        <f>SETUP!$G$3 + SUM(Tabela1[[#This Row],[EMOL CP]]:Tabela1[[#This Row],[OUTRAS CP]])</f>
        <v>36.01</v>
      </c>
      <c r="P13" s="6">
        <f>TRUNC([APLICAÇÃO] * 2  * SETUP!$A$3, 2)</f>
        <v>11.18</v>
      </c>
      <c r="Q13" s="6">
        <f>TRUNC([APLICAÇÃO] * 2  * SETUP!$B$3, 2)</f>
        <v>8.31</v>
      </c>
      <c r="R13" s="6">
        <f>TRUNC([APLICAÇÃO] * 2  * SETUP!$C$3, 2)</f>
        <v>21.01</v>
      </c>
      <c r="S13" s="6">
        <f>TRUNC(SETUP!$G$3  * SETUP!$H$3, 2)</f>
        <v>0.28999999999999998</v>
      </c>
      <c r="T13" s="6">
        <f>ROUND(SETUP!$G$3 * SETUP!$I$3, 2)</f>
        <v>0.57999999999999996</v>
      </c>
      <c r="U13" s="6">
        <f>SETUP!$G$3 + SUM(Tabela1[[#This Row],[EMOL VD]]:Tabela1[[#This Row],[OUTRAS VD]])</f>
        <v>56.269999999999996</v>
      </c>
      <c r="V13" s="6">
        <f>((([APLICAÇÃO] * 2) - [TAXA VD]) - ([APLICAÇÃO] + [TAXA CP])) * 0.85</f>
        <v>12770.391499999998</v>
      </c>
      <c r="W13" s="14">
        <f>[APLICAÇÃO] - (ROUND([RENDA FIXA] * 0.1,2))</f>
        <v>11807.769999999999</v>
      </c>
      <c r="X13" s="4">
        <f>Tabela1[[#This Row],[PERDA MAX]]/Tabela1[[#This Row],[APLICAÇÃO]]</f>
        <v>0.78112986867792122</v>
      </c>
      <c r="Y13" s="15">
        <f>IF([LUCRO] &lt; ([RENDA FIXA]/2), 0.8, 0.8)</f>
        <v>0.8</v>
      </c>
      <c r="Z13" s="6">
        <f>IF([LUCRO] &lt; 0, 0, ROUND([LUCRO]*[NO BOLSO], 2))</f>
        <v>10216.31</v>
      </c>
      <c r="AA13" s="6">
        <f>[LUCRO]-[PROTEÇÃO MÊS]</f>
        <v>2554.08</v>
      </c>
      <c r="AB13" s="6">
        <f>[RENDA FIXA] + [PROTEÇÃO MÊS] - [APORTE RF]</f>
        <v>43301.31</v>
      </c>
      <c r="AC13" s="6">
        <f>[TOT RF] + [REINVESTIR] + [APLICAÇÃO]</f>
        <v>60971.659999999996</v>
      </c>
      <c r="AD13" s="4">
        <f>IF([RENDA FIXA] &gt; 0, [PROTEÇÃO MÊS] / [RENDA FIXA], 0)</f>
        <v>0.30878978388998035</v>
      </c>
    </row>
    <row r="14" spans="1:30">
      <c r="A14" s="1">
        <v>13</v>
      </c>
      <c r="B14" s="20">
        <v>41365</v>
      </c>
      <c r="C14" s="3">
        <v>43301.31</v>
      </c>
      <c r="D14" s="3"/>
      <c r="E14" s="3"/>
      <c r="F14" s="3">
        <v>15779.22</v>
      </c>
      <c r="G14" s="6">
        <v>1000</v>
      </c>
      <c r="H14" s="6">
        <f>SUMPRODUCT(N([TRADE] &lt;= Tabela1[[#This Row],[TRADE]]), [APORTE]) + SUMPRODUCT(N([TRADE] &lt;= Tabela1[[#This Row],[TRADE]]), [APORTE RF])</f>
        <v>7845</v>
      </c>
      <c r="I14" s="6">
        <f>[MONTANTE] - SUMPRODUCT(N([TRADE] &lt;= Tabela1[[#This Row],[TRADE]]), [SAQUE]) + SUMPRODUCT(N([TRADE] &lt; Tabela1[[#This Row],[TRADE]]), [REINVESTIR])</f>
        <v>18670.349999999999</v>
      </c>
      <c r="J14" s="6">
        <f>TRUNC([APLICAÇÃO]  * SETUP!$A$3, 2)</f>
        <v>6.9</v>
      </c>
      <c r="K14" s="6">
        <f>TRUNC([APLICAÇÃO]  * SETUP!$B$3, 2)</f>
        <v>5.13</v>
      </c>
      <c r="L14" s="6">
        <f>TRUNC([APLICAÇÃO]  * SETUP!$C$3, 2)</f>
        <v>12.97</v>
      </c>
      <c r="M14" s="6">
        <f>TRUNC(SETUP!$G$3  * SETUP!$H$3, 2)</f>
        <v>0.28999999999999998</v>
      </c>
      <c r="N14" s="6">
        <f>ROUND(SETUP!$G$3 * SETUP!$I$3, 2)</f>
        <v>0.57999999999999996</v>
      </c>
      <c r="O14" s="6">
        <f>SETUP!$G$3 + SUM(Tabela1[[#This Row],[EMOL CP]]:Tabela1[[#This Row],[OUTRAS CP]])</f>
        <v>40.769999999999996</v>
      </c>
      <c r="P14" s="6">
        <f>TRUNC([APLICAÇÃO] * 2  * SETUP!$A$3, 2)</f>
        <v>13.81</v>
      </c>
      <c r="Q14" s="6">
        <f>TRUNC([APLICAÇÃO] * 2  * SETUP!$B$3, 2)</f>
        <v>10.26</v>
      </c>
      <c r="R14" s="6">
        <f>TRUNC([APLICAÇÃO] * 2  * SETUP!$C$3, 2)</f>
        <v>25.95</v>
      </c>
      <c r="S14" s="6">
        <f>TRUNC(SETUP!$G$3  * SETUP!$H$3, 2)</f>
        <v>0.28999999999999998</v>
      </c>
      <c r="T14" s="6">
        <f>ROUND(SETUP!$G$3 * SETUP!$I$3, 2)</f>
        <v>0.57999999999999996</v>
      </c>
      <c r="U14" s="6">
        <f>SETUP!$G$3 + SUM(Tabela1[[#This Row],[EMOL VD]]:Tabela1[[#This Row],[OUTRAS VD]])</f>
        <v>65.789999999999992</v>
      </c>
      <c r="V14" s="6">
        <f>((([APLICAÇÃO] * 2) - [TAXA VD]) - ([APLICAÇÃO] + [TAXA CP])) * 0.85</f>
        <v>15779.221499999998</v>
      </c>
      <c r="W14" s="14">
        <f>[APLICAÇÃO] - (ROUND([RENDA FIXA] * 0.1,2))</f>
        <v>14340.219999999998</v>
      </c>
      <c r="X14" s="4">
        <f>Tabela1[[#This Row],[PERDA MAX]]/Tabela1[[#This Row],[APLICAÇÃO]]</f>
        <v>0.76807451386824555</v>
      </c>
      <c r="Y14" s="15">
        <f>IF([LUCRO] &lt; ([RENDA FIXA]/2), 0.8, 0.8)</f>
        <v>0.8</v>
      </c>
      <c r="Z14" s="6">
        <f>IF([LUCRO] &lt; 0, 0, ROUND([LUCRO]*[NO BOLSO], 2))</f>
        <v>12623.38</v>
      </c>
      <c r="AA14" s="6">
        <f>[LUCRO]-[PROTEÇÃO MÊS]</f>
        <v>3155.84</v>
      </c>
      <c r="AB14" s="6">
        <f>[RENDA FIXA] + [PROTEÇÃO MÊS] - [APORTE RF]</f>
        <v>55924.689999999995</v>
      </c>
      <c r="AC14" s="6">
        <f>[TOT RF] + [REINVESTIR] + [APLICAÇÃO]</f>
        <v>77750.880000000005</v>
      </c>
      <c r="AD14" s="4">
        <f>IF([RENDA FIXA] &gt; 0, [PROTEÇÃO MÊS] / [RENDA FIXA], 0)</f>
        <v>0.29152420561872144</v>
      </c>
    </row>
    <row r="15" spans="1:30">
      <c r="A15" s="1">
        <v>14</v>
      </c>
      <c r="B15" s="20">
        <v>41395</v>
      </c>
      <c r="C15" s="3">
        <v>55924.69</v>
      </c>
      <c r="D15" s="3"/>
      <c r="E15" s="3"/>
      <c r="F15" s="3">
        <v>19297.48</v>
      </c>
      <c r="G15" s="6">
        <v>1000</v>
      </c>
      <c r="H15" s="6">
        <f>SUMPRODUCT(N([TRADE] &lt;= Tabela1[[#This Row],[TRADE]]), [APORTE]) + SUMPRODUCT(N([TRADE] &lt;= Tabela1[[#This Row],[TRADE]]), [APORTE RF])</f>
        <v>8845</v>
      </c>
      <c r="I15" s="6">
        <f>[MONTANTE] - SUMPRODUCT(N([TRADE] &lt;= Tabela1[[#This Row],[TRADE]]), [SAQUE]) + SUMPRODUCT(N([TRADE] &lt; Tabela1[[#This Row],[TRADE]]), [REINVESTIR])</f>
        <v>22826.19</v>
      </c>
      <c r="J15" s="6">
        <f>TRUNC([APLICAÇÃO]  * SETUP!$A$3, 2)</f>
        <v>8.44</v>
      </c>
      <c r="K15" s="6">
        <f>TRUNC([APLICAÇÃO]  * SETUP!$B$3, 2)</f>
        <v>6.27</v>
      </c>
      <c r="L15" s="6">
        <f>TRUNC([APLICAÇÃO]  * SETUP!$C$3, 2)</f>
        <v>15.86</v>
      </c>
      <c r="M15" s="6">
        <f>TRUNC(SETUP!$G$3  * SETUP!$H$3, 2)</f>
        <v>0.28999999999999998</v>
      </c>
      <c r="N15" s="6">
        <f>ROUND(SETUP!$G$3 * SETUP!$I$3, 2)</f>
        <v>0.57999999999999996</v>
      </c>
      <c r="O15" s="6">
        <f>SETUP!$G$3 + SUM(Tabela1[[#This Row],[EMOL CP]]:Tabela1[[#This Row],[OUTRAS CP]])</f>
        <v>46.339999999999996</v>
      </c>
      <c r="P15" s="6">
        <f>TRUNC([APLICAÇÃO] * 2  * SETUP!$A$3, 2)</f>
        <v>16.89</v>
      </c>
      <c r="Q15" s="6">
        <f>TRUNC([APLICAÇÃO] * 2  * SETUP!$B$3, 2)</f>
        <v>12.55</v>
      </c>
      <c r="R15" s="6">
        <f>TRUNC([APLICAÇÃO] * 2  * SETUP!$C$3, 2)</f>
        <v>31.72</v>
      </c>
      <c r="S15" s="6">
        <f>TRUNC(SETUP!$G$3  * SETUP!$H$3, 2)</f>
        <v>0.28999999999999998</v>
      </c>
      <c r="T15" s="6">
        <f>ROUND(SETUP!$G$3 * SETUP!$I$3, 2)</f>
        <v>0.57999999999999996</v>
      </c>
      <c r="U15" s="6">
        <f>SETUP!$G$3 + SUM(Tabela1[[#This Row],[EMOL VD]]:Tabela1[[#This Row],[OUTRAS VD]])</f>
        <v>76.929999999999993</v>
      </c>
      <c r="V15" s="6">
        <f>((([APLICAÇÃO] * 2) - [TAXA VD]) - ([APLICAÇÃO] + [TAXA CP])) * 0.85</f>
        <v>19297.481999999996</v>
      </c>
      <c r="W15" s="14">
        <f>[APLICAÇÃO] - (ROUND([RENDA FIXA] * 0.1,2))</f>
        <v>17233.719999999998</v>
      </c>
      <c r="X15" s="4">
        <f>Tabela1[[#This Row],[PERDA MAX]]/Tabela1[[#This Row],[APLICAÇÃO]]</f>
        <v>0.754997658391523</v>
      </c>
      <c r="Y15" s="15">
        <f>IF([LUCRO] &lt; ([RENDA FIXA]/2), 0.8, 0.8)</f>
        <v>0.8</v>
      </c>
      <c r="Z15" s="6">
        <f>IF([LUCRO] &lt; 0, 0, ROUND([LUCRO]*[NO BOLSO], 2))</f>
        <v>15437.98</v>
      </c>
      <c r="AA15" s="6">
        <f>[LUCRO]-[PROTEÇÃO MÊS]</f>
        <v>3859.5</v>
      </c>
      <c r="AB15" s="6">
        <f>[RENDA FIXA] + [PROTEÇÃO MÊS] - [APORTE RF]</f>
        <v>71362.67</v>
      </c>
      <c r="AC15" s="6">
        <f>[TOT RF] + [REINVESTIR] + [APLICAÇÃO]</f>
        <v>98048.36</v>
      </c>
      <c r="AD15" s="4">
        <f>IF([RENDA FIXA] &gt; 0, [PROTEÇÃO MÊS] / [RENDA FIXA], 0)</f>
        <v>0.27604945150344146</v>
      </c>
    </row>
    <row r="16" spans="1:30">
      <c r="A16" s="1">
        <v>15</v>
      </c>
      <c r="B16" s="20">
        <v>41426</v>
      </c>
      <c r="C16" s="21">
        <v>71362.67</v>
      </c>
      <c r="D16" s="21"/>
      <c r="E16" s="21"/>
      <c r="F16" s="21">
        <v>23411.45</v>
      </c>
      <c r="G16" s="22">
        <v>1000</v>
      </c>
      <c r="H16" s="22">
        <f>SUMPRODUCT(N([TRADE] &lt;= Tabela1[[#This Row],[TRADE]]), [APORTE]) + SUMPRODUCT(N([TRADE] &lt;= Tabela1[[#This Row],[TRADE]]), [APORTE RF])</f>
        <v>9845</v>
      </c>
      <c r="I16" s="22">
        <f>[MONTANTE] - SUMPRODUCT(N([TRADE] &lt;= Tabela1[[#This Row],[TRADE]]), [SAQUE]) + SUMPRODUCT(N([TRADE] &lt; Tabela1[[#This Row],[TRADE]]), [REINVESTIR])</f>
        <v>27685.69</v>
      </c>
      <c r="J16" s="22">
        <f>TRUNC([APLICAÇÃO]  * SETUP!$A$3, 2)</f>
        <v>10.24</v>
      </c>
      <c r="K16" s="22">
        <f>TRUNC([APLICAÇÃO]  * SETUP!$B$3, 2)</f>
        <v>7.61</v>
      </c>
      <c r="L16" s="22">
        <f>TRUNC([APLICAÇÃO]  * SETUP!$C$3, 2)</f>
        <v>19.239999999999998</v>
      </c>
      <c r="M16" s="22">
        <f>TRUNC(SETUP!$G$3  * SETUP!$H$3, 2)</f>
        <v>0.28999999999999998</v>
      </c>
      <c r="N16" s="22">
        <f>ROUND(SETUP!$G$3 * SETUP!$I$3, 2)</f>
        <v>0.57999999999999996</v>
      </c>
      <c r="O16" s="22">
        <f>SETUP!$G$3 + SUM(Tabela1[[#This Row],[EMOL CP]]:Tabela1[[#This Row],[OUTRAS CP]])</f>
        <v>52.86</v>
      </c>
      <c r="P16" s="22">
        <f>TRUNC([APLICAÇÃO] * 2  * SETUP!$A$3, 2)</f>
        <v>20.48</v>
      </c>
      <c r="Q16" s="22">
        <f>TRUNC([APLICAÇÃO] * 2  * SETUP!$B$3, 2)</f>
        <v>15.22</v>
      </c>
      <c r="R16" s="22">
        <f>TRUNC([APLICAÇÃO] * 2  * SETUP!$C$3, 2)</f>
        <v>38.479999999999997</v>
      </c>
      <c r="S16" s="22">
        <f>TRUNC(SETUP!$G$3  * SETUP!$H$3, 2)</f>
        <v>0.28999999999999998</v>
      </c>
      <c r="T16" s="22">
        <f>ROUND(SETUP!$G$3 * SETUP!$I$3, 2)</f>
        <v>0.57999999999999996</v>
      </c>
      <c r="U16" s="22">
        <f>SETUP!$G$3 + SUM(Tabela1[[#This Row],[EMOL VD]]:Tabela1[[#This Row],[OUTRAS VD]])</f>
        <v>89.950000000000017</v>
      </c>
      <c r="V16" s="22">
        <f>((([APLICAÇÃO] * 2) - [TAXA VD]) - ([APLICAÇÃO] + [TAXA CP])) * 0.85</f>
        <v>23411.448</v>
      </c>
      <c r="W16" s="23">
        <f>[APLICAÇÃO] - (ROUND([RENDA FIXA] * 0.1,2))</f>
        <v>20549.419999999998</v>
      </c>
      <c r="X16" s="24">
        <f>Tabela1[[#This Row],[PERDA MAX]]/Tabela1[[#This Row],[APLICAÇÃO]]</f>
        <v>0.74223976357461197</v>
      </c>
      <c r="Y16" s="25">
        <f>IF([LUCRO] &lt; ([RENDA FIXA]/2), 0.8, 0.8)</f>
        <v>0.8</v>
      </c>
      <c r="Z16" s="22">
        <f>IF([LUCRO] &lt; 0, 0, ROUND([LUCRO]*[NO BOLSO], 2))</f>
        <v>18729.16</v>
      </c>
      <c r="AA16" s="22">
        <f>[LUCRO]-[PROTEÇÃO MÊS]</f>
        <v>4682.2900000000009</v>
      </c>
      <c r="AB16" s="22">
        <f>[RENDA FIXA] + [PROTEÇÃO MÊS] - [APORTE RF]</f>
        <v>90091.83</v>
      </c>
      <c r="AC16" s="22">
        <f>[TOT RF] + [REINVESTIR] + [APLICAÇÃO]</f>
        <v>122459.81</v>
      </c>
      <c r="AD16" s="24">
        <f>IF([RENDA FIXA] &gt; 0, [PROTEÇÃO MÊS] / [RENDA FIXA], 0)</f>
        <v>0.26245038197141446</v>
      </c>
    </row>
    <row r="17" spans="1:30">
      <c r="A17" s="1">
        <v>16</v>
      </c>
      <c r="B17" s="20">
        <v>41456</v>
      </c>
      <c r="C17" s="3">
        <v>90091.83</v>
      </c>
      <c r="D17" s="3"/>
      <c r="E17" s="3"/>
      <c r="F17" s="3">
        <v>28221.97</v>
      </c>
      <c r="G17" s="6">
        <v>1000</v>
      </c>
      <c r="H17" s="6">
        <f>SUMPRODUCT(N([TRADE] &lt;= Tabela1[[#This Row],[TRADE]]), [APORTE]) + SUMPRODUCT(N([TRADE] &lt;= Tabela1[[#This Row],[TRADE]]), [APORTE RF])</f>
        <v>10845</v>
      </c>
      <c r="I17" s="6">
        <f>[MONTANTE] - SUMPRODUCT(N([TRADE] &lt;= Tabela1[[#This Row],[TRADE]]), [SAQUE]) + SUMPRODUCT(N([TRADE] &lt; Tabela1[[#This Row],[TRADE]]), [REINVESTIR])</f>
        <v>33367.979999999996</v>
      </c>
      <c r="J17" s="6">
        <f>TRUNC([APLICAÇÃO]  * SETUP!$A$3, 2)</f>
        <v>12.34</v>
      </c>
      <c r="K17" s="6">
        <f>TRUNC([APLICAÇÃO]  * SETUP!$B$3, 2)</f>
        <v>9.17</v>
      </c>
      <c r="L17" s="6">
        <f>TRUNC([APLICAÇÃO]  * SETUP!$C$3, 2)</f>
        <v>23.19</v>
      </c>
      <c r="M17" s="6">
        <f>TRUNC(SETUP!$G$3  * SETUP!$H$3, 2)</f>
        <v>0.28999999999999998</v>
      </c>
      <c r="N17" s="6">
        <f>ROUND(SETUP!$G$3 * SETUP!$I$3, 2)</f>
        <v>0.57999999999999996</v>
      </c>
      <c r="O17" s="6">
        <f>SETUP!$G$3 + SUM(Tabela1[[#This Row],[EMOL CP]]:Tabela1[[#This Row],[OUTRAS CP]])</f>
        <v>60.47</v>
      </c>
      <c r="P17" s="6">
        <f>TRUNC([APLICAÇÃO] * 2  * SETUP!$A$3, 2)</f>
        <v>24.69</v>
      </c>
      <c r="Q17" s="6">
        <f>TRUNC([APLICAÇÃO] * 2  * SETUP!$B$3, 2)</f>
        <v>18.350000000000001</v>
      </c>
      <c r="R17" s="6">
        <f>TRUNC([APLICAÇÃO] * 2  * SETUP!$C$3, 2)</f>
        <v>46.38</v>
      </c>
      <c r="S17" s="6">
        <f>TRUNC(SETUP!$G$3  * SETUP!$H$3, 2)</f>
        <v>0.28999999999999998</v>
      </c>
      <c r="T17" s="6">
        <f>ROUND(SETUP!$G$3 * SETUP!$I$3, 2)</f>
        <v>0.57999999999999996</v>
      </c>
      <c r="U17" s="6">
        <f>SETUP!$G$3 + SUM(Tabela1[[#This Row],[EMOL VD]]:Tabela1[[#This Row],[OUTRAS VD]])</f>
        <v>105.19000000000003</v>
      </c>
      <c r="V17" s="6">
        <f>((([APLICAÇÃO] * 2) - [TAXA VD]) - ([APLICAÇÃO] + [TAXA CP])) * 0.85</f>
        <v>28221.971999999994</v>
      </c>
      <c r="W17" s="14">
        <f>[APLICAÇÃO] - (ROUND([RENDA FIXA] * 0.1,2))</f>
        <v>24358.799999999996</v>
      </c>
      <c r="X17" s="4">
        <f>Tabela1[[#This Row],[PERDA MAX]]/Tabela1[[#This Row],[APLICAÇÃO]]</f>
        <v>0.73000523256127581</v>
      </c>
      <c r="Y17" s="15">
        <f>IF([LUCRO] &lt; ([RENDA FIXA]/2), 0.8, 0.8)</f>
        <v>0.8</v>
      </c>
      <c r="Z17" s="6">
        <f>IF([LUCRO] &lt; 0, 0, ROUND([LUCRO]*[NO BOLSO], 2))</f>
        <v>22577.58</v>
      </c>
      <c r="AA17" s="6">
        <f>[LUCRO]-[PROTEÇÃO MÊS]</f>
        <v>5644.3899999999994</v>
      </c>
      <c r="AB17" s="6">
        <f>[RENDA FIXA] + [PROTEÇÃO MÊS] - [APORTE RF]</f>
        <v>112669.41</v>
      </c>
      <c r="AC17" s="6">
        <f>[TOT RF] + [REINVESTIR] + [APLICAÇÃO]</f>
        <v>151681.78</v>
      </c>
      <c r="AD17" s="4">
        <f>IF([RENDA FIXA] &gt; 0, [PROTEÇÃO MÊS] / [RENDA FIXA], 0)</f>
        <v>0.25060629804056594</v>
      </c>
    </row>
    <row r="18" spans="1:30">
      <c r="A18" s="1">
        <v>17</v>
      </c>
      <c r="B18" s="20">
        <v>41487</v>
      </c>
      <c r="C18" s="3">
        <v>112669.41</v>
      </c>
      <c r="D18" s="3"/>
      <c r="E18" s="3"/>
      <c r="F18" s="3">
        <v>33847.019999999997</v>
      </c>
      <c r="G18" s="6">
        <v>1000</v>
      </c>
      <c r="H18" s="6">
        <f>SUMPRODUCT(N([TRADE] &lt;= Tabela1[[#This Row],[TRADE]]), [APORTE]) + SUMPRODUCT(N([TRADE] &lt;= Tabela1[[#This Row],[TRADE]]), [APORTE RF])</f>
        <v>11845</v>
      </c>
      <c r="I18" s="6">
        <f>[MONTANTE] - SUMPRODUCT(N([TRADE] &lt;= Tabela1[[#This Row],[TRADE]]), [SAQUE]) + SUMPRODUCT(N([TRADE] &lt; Tabela1[[#This Row],[TRADE]]), [REINVESTIR])</f>
        <v>40012.369999999995</v>
      </c>
      <c r="J18" s="6">
        <f>TRUNC([APLICAÇÃO]  * SETUP!$A$3, 2)</f>
        <v>14.8</v>
      </c>
      <c r="K18" s="6">
        <f>TRUNC([APLICAÇÃO]  * SETUP!$B$3, 2)</f>
        <v>11</v>
      </c>
      <c r="L18" s="6">
        <f>TRUNC([APLICAÇÃO]  * SETUP!$C$3, 2)</f>
        <v>27.8</v>
      </c>
      <c r="M18" s="6">
        <f>TRUNC(SETUP!$G$3  * SETUP!$H$3, 2)</f>
        <v>0.28999999999999998</v>
      </c>
      <c r="N18" s="6">
        <f>ROUND(SETUP!$G$3 * SETUP!$I$3, 2)</f>
        <v>0.57999999999999996</v>
      </c>
      <c r="O18" s="6">
        <f>SETUP!$G$3 + SUM(Tabela1[[#This Row],[EMOL CP]]:Tabela1[[#This Row],[OUTRAS CP]])</f>
        <v>69.37</v>
      </c>
      <c r="P18" s="6">
        <f>TRUNC([APLICAÇÃO] * 2  * SETUP!$A$3, 2)</f>
        <v>29.6</v>
      </c>
      <c r="Q18" s="6">
        <f>TRUNC([APLICAÇÃO] * 2  * SETUP!$B$3, 2)</f>
        <v>22</v>
      </c>
      <c r="R18" s="6">
        <f>TRUNC([APLICAÇÃO] * 2  * SETUP!$C$3, 2)</f>
        <v>55.61</v>
      </c>
      <c r="S18" s="6">
        <f>TRUNC(SETUP!$G$3  * SETUP!$H$3, 2)</f>
        <v>0.28999999999999998</v>
      </c>
      <c r="T18" s="6">
        <f>ROUND(SETUP!$G$3 * SETUP!$I$3, 2)</f>
        <v>0.57999999999999996</v>
      </c>
      <c r="U18" s="6">
        <f>SETUP!$G$3 + SUM(Tabela1[[#This Row],[EMOL VD]]:Tabela1[[#This Row],[OUTRAS VD]])</f>
        <v>122.98000000000002</v>
      </c>
      <c r="V18" s="6">
        <f>((([APLICAÇÃO] * 2) - [TAXA VD]) - ([APLICAÇÃO] + [TAXA CP])) * 0.85</f>
        <v>33847.017</v>
      </c>
      <c r="W18" s="14">
        <f>[APLICAÇÃO] - (ROUND([RENDA FIXA] * 0.1,2))</f>
        <v>28745.429999999993</v>
      </c>
      <c r="X18" s="4">
        <f>Tabela1[[#This Row],[PERDA MAX]]/Tabela1[[#This Row],[APLICAÇÃO]]</f>
        <v>0.71841358060019933</v>
      </c>
      <c r="Y18" s="15">
        <f>IF([LUCRO] &lt; ([RENDA FIXA]/2), 0.8, 0.8)</f>
        <v>0.8</v>
      </c>
      <c r="Z18" s="6">
        <f>IF([LUCRO] &lt; 0, 0, ROUND([LUCRO]*[NO BOLSO], 2))</f>
        <v>27077.62</v>
      </c>
      <c r="AA18" s="6">
        <f>[LUCRO]-[PROTEÇÃO MÊS]</f>
        <v>6769.3999999999978</v>
      </c>
      <c r="AB18" s="6">
        <f>[RENDA FIXA] + [PROTEÇÃO MÊS] - [APORTE RF]</f>
        <v>139747.03</v>
      </c>
      <c r="AC18" s="6">
        <f>[TOT RF] + [REINVESTIR] + [APLICAÇÃO]</f>
        <v>186528.8</v>
      </c>
      <c r="AD18" s="4">
        <f>IF([RENDA FIXA] &gt; 0, [PROTEÇÃO MÊS] / [RENDA FIXA], 0)</f>
        <v>0.24032805355064873</v>
      </c>
    </row>
    <row r="19" spans="1:30">
      <c r="A19" s="1">
        <v>18</v>
      </c>
      <c r="B19" s="20">
        <v>41518</v>
      </c>
      <c r="C19" s="3">
        <v>139747.03</v>
      </c>
      <c r="D19" s="3"/>
      <c r="E19" s="3"/>
      <c r="F19" s="3">
        <v>40424.47</v>
      </c>
      <c r="G19" s="6">
        <v>1000</v>
      </c>
      <c r="H19" s="6">
        <f>SUMPRODUCT(N([TRADE] &lt;= Tabela1[[#This Row],[TRADE]]), [APORTE]) + SUMPRODUCT(N([TRADE] &lt;= Tabela1[[#This Row],[TRADE]]), [APORTE RF])</f>
        <v>12845</v>
      </c>
      <c r="I19" s="6">
        <f>[MONTANTE] - SUMPRODUCT(N([TRADE] &lt;= Tabela1[[#This Row],[TRADE]]), [SAQUE]) + SUMPRODUCT(N([TRADE] &lt; Tabela1[[#This Row],[TRADE]]), [REINVESTIR])</f>
        <v>47781.77</v>
      </c>
      <c r="J19" s="6">
        <f>TRUNC([APLICAÇÃO]  * SETUP!$A$3, 2)</f>
        <v>17.670000000000002</v>
      </c>
      <c r="K19" s="6">
        <f>TRUNC([APLICAÇÃO]  * SETUP!$B$3, 2)</f>
        <v>13.13</v>
      </c>
      <c r="L19" s="6">
        <f>TRUNC([APLICAÇÃO]  * SETUP!$C$3, 2)</f>
        <v>33.200000000000003</v>
      </c>
      <c r="M19" s="6">
        <f>TRUNC(SETUP!$G$3  * SETUP!$H$3, 2)</f>
        <v>0.28999999999999998</v>
      </c>
      <c r="N19" s="6">
        <f>ROUND(SETUP!$G$3 * SETUP!$I$3, 2)</f>
        <v>0.57999999999999996</v>
      </c>
      <c r="O19" s="6">
        <f>SETUP!$G$3 + SUM(Tabela1[[#This Row],[EMOL CP]]:Tabela1[[#This Row],[OUTRAS CP]])</f>
        <v>79.77000000000001</v>
      </c>
      <c r="P19" s="6">
        <f>TRUNC([APLICAÇÃO] * 2  * SETUP!$A$3, 2)</f>
        <v>35.35</v>
      </c>
      <c r="Q19" s="6">
        <f>TRUNC([APLICAÇÃO] * 2  * SETUP!$B$3, 2)</f>
        <v>26.27</v>
      </c>
      <c r="R19" s="6">
        <f>TRUNC([APLICAÇÃO] * 2  * SETUP!$C$3, 2)</f>
        <v>66.41</v>
      </c>
      <c r="S19" s="6">
        <f>TRUNC(SETUP!$G$3  * SETUP!$H$3, 2)</f>
        <v>0.28999999999999998</v>
      </c>
      <c r="T19" s="6">
        <f>ROUND(SETUP!$G$3 * SETUP!$I$3, 2)</f>
        <v>0.57999999999999996</v>
      </c>
      <c r="U19" s="6">
        <f>SETUP!$G$3 + SUM(Tabela1[[#This Row],[EMOL VD]]:Tabela1[[#This Row],[OUTRAS VD]])</f>
        <v>143.80000000000001</v>
      </c>
      <c r="V19" s="6">
        <f>((([APLICAÇÃO] * 2) - [TAXA VD]) - ([APLICAÇÃO] + [TAXA CP])) * 0.85</f>
        <v>40424.469999999994</v>
      </c>
      <c r="W19" s="14">
        <f>[APLICAÇÃO] - (ROUND([RENDA FIXA] * 0.1,2))</f>
        <v>33807.069999999992</v>
      </c>
      <c r="X19" s="4">
        <f>Tabela1[[#This Row],[PERDA MAX]]/Tabela1[[#This Row],[APLICAÇÃO]]</f>
        <v>0.70753071725890426</v>
      </c>
      <c r="Y19" s="15">
        <f>IF([LUCRO] &lt; ([RENDA FIXA]/2), 0.8, 0.8)</f>
        <v>0.8</v>
      </c>
      <c r="Z19" s="6">
        <f>IF([LUCRO] &lt; 0, 0, ROUND([LUCRO]*[NO BOLSO], 2))</f>
        <v>32339.58</v>
      </c>
      <c r="AA19" s="6">
        <f>[LUCRO]-[PROTEÇÃO MÊS]</f>
        <v>8084.8899999999994</v>
      </c>
      <c r="AB19" s="6">
        <f>[RENDA FIXA] + [PROTEÇÃO MÊS] - [APORTE RF]</f>
        <v>172086.61</v>
      </c>
      <c r="AC19" s="6">
        <f>[TOT RF] + [REINVESTIR] + [APLICAÇÃO]</f>
        <v>227953.27</v>
      </c>
      <c r="AD19" s="4">
        <f>IF([RENDA FIXA] &gt; 0, [PROTEÇÃO MÊS] / [RENDA FIXA], 0)</f>
        <v>0.23141515064756654</v>
      </c>
    </row>
    <row r="20" spans="1:30">
      <c r="A20" s="1">
        <v>19</v>
      </c>
      <c r="B20" s="20">
        <v>41548</v>
      </c>
      <c r="C20" s="3">
        <v>172086.61</v>
      </c>
      <c r="D20" s="3"/>
      <c r="E20" s="3"/>
      <c r="F20" s="3">
        <v>48115.56</v>
      </c>
      <c r="G20" s="6">
        <v>1000</v>
      </c>
      <c r="H20" s="6">
        <f>SUMPRODUCT(N([TRADE] &lt;= Tabela1[[#This Row],[TRADE]]), [APORTE]) + SUMPRODUCT(N([TRADE] &lt;= Tabela1[[#This Row],[TRADE]]), [APORTE RF])</f>
        <v>13845</v>
      </c>
      <c r="I20" s="6">
        <f>[MONTANTE] - SUMPRODUCT(N([TRADE] &lt;= Tabela1[[#This Row],[TRADE]]), [SAQUE]) + SUMPRODUCT(N([TRADE] &lt; Tabela1[[#This Row],[TRADE]]), [REINVESTIR])</f>
        <v>56866.659999999996</v>
      </c>
      <c r="J20" s="6">
        <f>TRUNC([APLICAÇÃO]  * SETUP!$A$3, 2)</f>
        <v>21.04</v>
      </c>
      <c r="K20" s="6">
        <f>TRUNC([APLICAÇÃO]  * SETUP!$B$3, 2)</f>
        <v>15.63</v>
      </c>
      <c r="L20" s="6">
        <f>TRUNC([APLICAÇÃO]  * SETUP!$C$3, 2)</f>
        <v>39.520000000000003</v>
      </c>
      <c r="M20" s="6">
        <f>TRUNC(SETUP!$G$3  * SETUP!$H$3, 2)</f>
        <v>0.28999999999999998</v>
      </c>
      <c r="N20" s="6">
        <f>ROUND(SETUP!$G$3 * SETUP!$I$3, 2)</f>
        <v>0.57999999999999996</v>
      </c>
      <c r="O20" s="6">
        <f>SETUP!$G$3 + SUM(Tabela1[[#This Row],[EMOL CP]]:Tabela1[[#This Row],[OUTRAS CP]])</f>
        <v>91.960000000000008</v>
      </c>
      <c r="P20" s="6">
        <f>TRUNC([APLICAÇÃO] * 2  * SETUP!$A$3, 2)</f>
        <v>42.08</v>
      </c>
      <c r="Q20" s="6">
        <f>TRUNC([APLICAÇÃO] * 2  * SETUP!$B$3, 2)</f>
        <v>31.27</v>
      </c>
      <c r="R20" s="6">
        <f>TRUNC([APLICAÇÃO] * 2  * SETUP!$C$3, 2)</f>
        <v>79.040000000000006</v>
      </c>
      <c r="S20" s="6">
        <f>TRUNC(SETUP!$G$3  * SETUP!$H$3, 2)</f>
        <v>0.28999999999999998</v>
      </c>
      <c r="T20" s="6">
        <f>ROUND(SETUP!$G$3 * SETUP!$I$3, 2)</f>
        <v>0.57999999999999996</v>
      </c>
      <c r="U20" s="6">
        <f>SETUP!$G$3 + SUM(Tabela1[[#This Row],[EMOL VD]]:Tabela1[[#This Row],[OUTRAS VD]])</f>
        <v>168.16</v>
      </c>
      <c r="V20" s="6">
        <f>((([APLICAÇÃO] * 2) - [TAXA VD]) - ([APLICAÇÃO] + [TAXA CP])) * 0.85</f>
        <v>48115.558999999994</v>
      </c>
      <c r="W20" s="14">
        <f>[APLICAÇÃO] - (ROUND([RENDA FIXA] * 0.1,2))</f>
        <v>39658</v>
      </c>
      <c r="X20" s="4">
        <f>Tabela1[[#This Row],[PERDA MAX]]/Tabela1[[#This Row],[APLICAÇÃO]]</f>
        <v>0.69738577929493317</v>
      </c>
      <c r="Y20" s="15">
        <f>IF([LUCRO] &lt; ([RENDA FIXA]/2), 0.8, 0.8)</f>
        <v>0.8</v>
      </c>
      <c r="Z20" s="6">
        <f>IF([LUCRO] &lt; 0, 0, ROUND([LUCRO]*[NO BOLSO], 2))</f>
        <v>38492.449999999997</v>
      </c>
      <c r="AA20" s="6">
        <f>[LUCRO]-[PROTEÇÃO MÊS]</f>
        <v>9623.11</v>
      </c>
      <c r="AB20" s="6">
        <f>[RENDA FIXA] + [PROTEÇÃO MÊS] - [APORTE RF]</f>
        <v>210579.06</v>
      </c>
      <c r="AC20" s="6">
        <f>[TOT RF] + [REINVESTIR] + [APLICAÇÃO]</f>
        <v>277068.82999999996</v>
      </c>
      <c r="AD20" s="4">
        <f>IF([RENDA FIXA] &gt; 0, [PROTEÇÃO MÊS] / [RENDA FIXA], 0)</f>
        <v>0.22368068032719107</v>
      </c>
    </row>
    <row r="21" spans="1:30">
      <c r="A21" s="1">
        <v>20</v>
      </c>
      <c r="B21" s="20">
        <v>41579</v>
      </c>
      <c r="C21" s="3">
        <v>210579.06</v>
      </c>
      <c r="D21" s="3"/>
      <c r="E21" s="3"/>
      <c r="F21" s="3">
        <v>57108.91</v>
      </c>
      <c r="G21" s="6">
        <v>1000</v>
      </c>
      <c r="H21" s="6">
        <f>SUMPRODUCT(N([TRADE] &lt;= Tabela1[[#This Row],[TRADE]]), [APORTE]) + SUMPRODUCT(N([TRADE] &lt;= Tabela1[[#This Row],[TRADE]]), [APORTE RF])</f>
        <v>14845</v>
      </c>
      <c r="I21" s="6">
        <f>[MONTANTE] - SUMPRODUCT(N([TRADE] &lt;= Tabela1[[#This Row],[TRADE]]), [SAQUE]) + SUMPRODUCT(N([TRADE] &lt; Tabela1[[#This Row],[TRADE]]), [REINVESTIR])</f>
        <v>67489.76999999999</v>
      </c>
      <c r="J21" s="6">
        <f>TRUNC([APLICAÇÃO]  * SETUP!$A$3, 2)</f>
        <v>24.97</v>
      </c>
      <c r="K21" s="6">
        <f>TRUNC([APLICAÇÃO]  * SETUP!$B$3, 2)</f>
        <v>18.55</v>
      </c>
      <c r="L21" s="6">
        <f>TRUNC([APLICAÇÃO]  * SETUP!$C$3, 2)</f>
        <v>46.9</v>
      </c>
      <c r="M21" s="6">
        <f>TRUNC(SETUP!$G$3  * SETUP!$H$3, 2)</f>
        <v>0.28999999999999998</v>
      </c>
      <c r="N21" s="6">
        <f>ROUND(SETUP!$G$3 * SETUP!$I$3, 2)</f>
        <v>0.57999999999999996</v>
      </c>
      <c r="O21" s="6">
        <f>SETUP!$G$3 + SUM(Tabela1[[#This Row],[EMOL CP]]:Tabela1[[#This Row],[OUTRAS CP]])</f>
        <v>106.19</v>
      </c>
      <c r="P21" s="6">
        <f>TRUNC([APLICAÇÃO] * 2  * SETUP!$A$3, 2)</f>
        <v>49.94</v>
      </c>
      <c r="Q21" s="6">
        <f>TRUNC([APLICAÇÃO] * 2  * SETUP!$B$3, 2)</f>
        <v>37.11</v>
      </c>
      <c r="R21" s="6">
        <f>TRUNC([APLICAÇÃO] * 2  * SETUP!$C$3, 2)</f>
        <v>93.81</v>
      </c>
      <c r="S21" s="6">
        <f>TRUNC(SETUP!$G$3  * SETUP!$H$3, 2)</f>
        <v>0.28999999999999998</v>
      </c>
      <c r="T21" s="6">
        <f>ROUND(SETUP!$G$3 * SETUP!$I$3, 2)</f>
        <v>0.57999999999999996</v>
      </c>
      <c r="U21" s="6">
        <f>SETUP!$G$3 + SUM(Tabela1[[#This Row],[EMOL VD]]:Tabela1[[#This Row],[OUTRAS VD]])</f>
        <v>196.63000000000002</v>
      </c>
      <c r="V21" s="6">
        <f>((([APLICAÇÃO] * 2) - [TAXA VD]) - ([APLICAÇÃO] + [TAXA CP])) * 0.85</f>
        <v>57108.907499999987</v>
      </c>
      <c r="W21" s="14">
        <f>[APLICAÇÃO] - (ROUND([RENDA FIXA] * 0.1,2))</f>
        <v>46431.859999999986</v>
      </c>
      <c r="X21" s="4">
        <f>Tabela1[[#This Row],[PERDA MAX]]/Tabela1[[#This Row],[APLICAÇÃO]]</f>
        <v>0.68798367515550862</v>
      </c>
      <c r="Y21" s="15">
        <f>IF([LUCRO] &lt; ([RENDA FIXA]/2), 0.8, 0.8)</f>
        <v>0.8</v>
      </c>
      <c r="Z21" s="6">
        <f>IF([LUCRO] &lt; 0, 0, ROUND([LUCRO]*[NO BOLSO], 2))</f>
        <v>45687.13</v>
      </c>
      <c r="AA21" s="6">
        <f>[LUCRO]-[PROTEÇÃO MÊS]</f>
        <v>11421.780000000006</v>
      </c>
      <c r="AB21" s="6">
        <f>[RENDA FIXA] + [PROTEÇÃO MÊS] - [APORTE RF]</f>
        <v>256266.19</v>
      </c>
      <c r="AC21" s="6">
        <f>[TOT RF] + [REINVESTIR] + [APLICAÇÃO]</f>
        <v>335177.74</v>
      </c>
      <c r="AD21" s="4">
        <f>IF([RENDA FIXA] &gt; 0, [PROTEÇÃO MÊS] / [RENDA FIXA], 0)</f>
        <v>0.21695951154877413</v>
      </c>
    </row>
    <row r="22" spans="1:30">
      <c r="A22" s="1">
        <v>21</v>
      </c>
      <c r="B22" s="20">
        <v>41609</v>
      </c>
      <c r="C22" s="21">
        <v>256266.19</v>
      </c>
      <c r="D22" s="21"/>
      <c r="E22" s="21"/>
      <c r="F22" s="21">
        <v>67624.98</v>
      </c>
      <c r="G22" s="6">
        <v>1000</v>
      </c>
      <c r="H22" s="22">
        <f>SUMPRODUCT(N([TRADE] &lt;= Tabela1[[#This Row],[TRADE]]), [APORTE]) + SUMPRODUCT(N([TRADE] &lt;= Tabela1[[#This Row],[TRADE]]), [APORTE RF])</f>
        <v>15845</v>
      </c>
      <c r="I22" s="22">
        <f>[MONTANTE] - SUMPRODUCT(N([TRADE] &lt;= Tabela1[[#This Row],[TRADE]]), [SAQUE]) + SUMPRODUCT(N([TRADE] &lt; Tabela1[[#This Row],[TRADE]]), [REINVESTIR])</f>
        <v>79911.55</v>
      </c>
      <c r="J22" s="22">
        <f>TRUNC([APLICAÇÃO]  * SETUP!$A$3, 2)</f>
        <v>29.56</v>
      </c>
      <c r="K22" s="22">
        <f>TRUNC([APLICAÇÃO]  * SETUP!$B$3, 2)</f>
        <v>21.97</v>
      </c>
      <c r="L22" s="22">
        <f>TRUNC([APLICAÇÃO]  * SETUP!$C$3, 2)</f>
        <v>55.53</v>
      </c>
      <c r="M22" s="22">
        <f>TRUNC(SETUP!$G$3  * SETUP!$H$3, 2)</f>
        <v>0.28999999999999998</v>
      </c>
      <c r="N22" s="22">
        <f>ROUND(SETUP!$G$3 * SETUP!$I$3, 2)</f>
        <v>0.57999999999999996</v>
      </c>
      <c r="O22" s="22">
        <f>SETUP!$G$3 + SUM(Tabela1[[#This Row],[EMOL CP]]:Tabela1[[#This Row],[OUTRAS CP]])</f>
        <v>122.83000000000001</v>
      </c>
      <c r="P22" s="22">
        <f>TRUNC([APLICAÇÃO] * 2  * SETUP!$A$3, 2)</f>
        <v>59.13</v>
      </c>
      <c r="Q22" s="22">
        <f>TRUNC([APLICAÇÃO] * 2  * SETUP!$B$3, 2)</f>
        <v>43.95</v>
      </c>
      <c r="R22" s="22">
        <f>TRUNC([APLICAÇÃO] * 2  * SETUP!$C$3, 2)</f>
        <v>111.07</v>
      </c>
      <c r="S22" s="22">
        <f>TRUNC(SETUP!$G$3  * SETUP!$H$3, 2)</f>
        <v>0.28999999999999998</v>
      </c>
      <c r="T22" s="22">
        <f>ROUND(SETUP!$G$3 * SETUP!$I$3, 2)</f>
        <v>0.57999999999999996</v>
      </c>
      <c r="U22" s="22">
        <f>SETUP!$G$3 + SUM(Tabela1[[#This Row],[EMOL VD]]:Tabela1[[#This Row],[OUTRAS VD]])</f>
        <v>229.92000000000002</v>
      </c>
      <c r="V22" s="22">
        <f>((([APLICAÇÃO] * 2) - [TAXA VD]) - ([APLICAÇÃO] + [TAXA CP])) * 0.85</f>
        <v>67624.979999999981</v>
      </c>
      <c r="W22" s="23">
        <f>[APLICAÇÃO] - (ROUND([RENDA FIXA] * 0.1,2))</f>
        <v>54284.930000000008</v>
      </c>
      <c r="X22" s="24">
        <f>Tabela1[[#This Row],[PERDA MAX]]/Tabela1[[#This Row],[APLICAÇÃO]]</f>
        <v>0.67931269009298412</v>
      </c>
      <c r="Y22" s="25">
        <f>IF([LUCRO] &lt; ([RENDA FIXA]/2), 0.8, 0.8)</f>
        <v>0.8</v>
      </c>
      <c r="Z22" s="22">
        <f>IF([LUCRO] &lt; 0, 0, ROUND([LUCRO]*[NO BOLSO], 2))</f>
        <v>54099.98</v>
      </c>
      <c r="AA22" s="22">
        <f>[LUCRO]-[PROTEÇÃO MÊS]</f>
        <v>13524.999999999993</v>
      </c>
      <c r="AB22" s="22">
        <f>[RENDA FIXA] + [PROTEÇÃO MÊS] - [APORTE RF]</f>
        <v>310366.17</v>
      </c>
      <c r="AC22" s="22">
        <f>[TOT RF] + [REINVESTIR] + [APLICAÇÃO]</f>
        <v>403802.72</v>
      </c>
      <c r="AD22" s="24">
        <f>IF([RENDA FIXA] &gt; 0, [PROTEÇÃO MÊS] / [RENDA FIXA], 0)</f>
        <v>0.21110853523049608</v>
      </c>
    </row>
    <row r="23" spans="1:30" ht="15">
      <c r="A23" s="1" t="s">
        <v>37</v>
      </c>
      <c r="C23" s="17"/>
      <c r="D23" s="17"/>
      <c r="E23" s="17"/>
      <c r="F23" s="17"/>
      <c r="G23" s="16">
        <f>SUBTOTAL(109,[APORTE])</f>
        <v>15845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8"/>
      <c r="X23" s="17"/>
      <c r="Z23" s="17"/>
      <c r="AA23" s="16"/>
      <c r="AB23" s="17"/>
      <c r="AC23" s="16"/>
      <c r="AD23" s="4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AC23"/>
  <sheetViews>
    <sheetView workbookViewId="0">
      <selection activeCell="F23" sqref="F23"/>
    </sheetView>
  </sheetViews>
  <sheetFormatPr defaultRowHeight="11.25"/>
  <cols>
    <col min="1" max="1" width="7.5703125" style="1" bestFit="1" customWidth="1"/>
    <col min="2" max="2" width="10" style="26" bestFit="1" customWidth="1"/>
    <col min="3" max="3" width="11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28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26">
        <v>41000</v>
      </c>
      <c r="C2" s="3">
        <v>0</v>
      </c>
      <c r="D2" s="3">
        <v>0</v>
      </c>
      <c r="E2" s="3">
        <v>0</v>
      </c>
      <c r="F2" s="3">
        <v>0</v>
      </c>
      <c r="G2" s="3">
        <v>100</v>
      </c>
      <c r="H2" s="3">
        <f>SUMPRODUCT(N([TRADE] &lt;= Tabela13[[#This Row],[TRADE]]), [APORTE]) + SUMPRODUCT(N([TRADE] &lt;= Tabela13[[#This Row],[TRADE]]), [APORTE RF])</f>
        <v>100</v>
      </c>
      <c r="I2" s="3">
        <f>[MONTANTE] - SUMPRODUCT(N([TRADE] &lt;= Tabela13[[#This Row],[TRADE]]), [SAQUE]) + SUMPRODUCT(N([TRADE] &lt; Tabela13[[#This Row],[TRADE]]), [REINVESTIR])</f>
        <v>100</v>
      </c>
      <c r="J2" s="3">
        <f>TRUNC([APLICAÇÃO]  * SETUP!$A$3, 2)</f>
        <v>0.03</v>
      </c>
      <c r="K2" s="3">
        <f>TRUNC([APLICAÇÃO]  * SETUP!$B$3, 2)</f>
        <v>0.02</v>
      </c>
      <c r="L2" s="3">
        <f>TRUNC([APLICAÇÃO]  * SETUP!$C$3, 2)</f>
        <v>0.06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SUM(Tabela13[[#This Row],[EMOL CP]]:Tabela13[[#This Row],[OUTRAS CP]])</f>
        <v>15.88</v>
      </c>
      <c r="P2" s="3">
        <f>TRUNC([APLICAÇÃO] * 2  * SETUP!$A$3, 2)</f>
        <v>7.0000000000000007E-2</v>
      </c>
      <c r="Q2" s="3">
        <f>TRUNC([APLICAÇÃO] * 2  * SETUP!$B$3, 2)</f>
        <v>0.05</v>
      </c>
      <c r="R2" s="3">
        <f>TRUNC([APLICAÇÃO] * 2  * SETUP!$C$3, 2)</f>
        <v>0.13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SUM(Tabela13[[#This Row],[EMOL VD]]:Tabela13[[#This Row],[OUTRAS VD]])</f>
        <v>16.02</v>
      </c>
      <c r="V2" s="3">
        <f>((([APLICAÇÃO] * 2) - [TAXA VD]) - ([APLICAÇÃO] + [TAXA CP])) * 0.85</f>
        <v>57.884999999999991</v>
      </c>
      <c r="W2" s="11">
        <f>[APLICAÇÃO] - (ROUND([RENDA FIXA] * 0.1,2))</f>
        <v>100</v>
      </c>
      <c r="X2" s="4">
        <f>Tabela13[[#This Row],[PERDA MAX]]/Tabela13[[#This Row],[APLICAÇÃO]]</f>
        <v>1</v>
      </c>
      <c r="Y2" s="4">
        <f>IF([LUCRO] &lt; ([RENDA FIXA]/2), 0.8, 0.8)</f>
        <v>0.8</v>
      </c>
      <c r="Z2" s="3">
        <f>IF([LUCRO] &lt; 0, 0, ROUND([LUCRO]*[NO BOLSO], 2))</f>
        <v>0</v>
      </c>
      <c r="AA2" s="3">
        <f>[LUCRO]-[PROTEÇÃO MÊS]</f>
        <v>0</v>
      </c>
      <c r="AB2" s="3">
        <f>[RENDA FIXA] + [PROTEÇÃO MÊS] - [APORTE RF]</f>
        <v>0</v>
      </c>
      <c r="AC2" s="6">
        <f>[TOT RF] + [REINVESTIR] + [APLICAÇÃO]</f>
        <v>100</v>
      </c>
    </row>
    <row r="3" spans="1:29">
      <c r="A3" s="1">
        <v>2</v>
      </c>
      <c r="B3" s="26">
        <v>41030</v>
      </c>
      <c r="C3" s="3">
        <v>0</v>
      </c>
      <c r="D3" s="3">
        <v>0</v>
      </c>
      <c r="E3" s="3">
        <v>0</v>
      </c>
      <c r="F3" s="3">
        <v>491.56</v>
      </c>
      <c r="G3" s="3">
        <v>0</v>
      </c>
      <c r="H3" s="3">
        <f>SUMPRODUCT(N([TRADE] &lt;= Tabela13[[#This Row],[TRADE]]), [APORTE]) + SUMPRODUCT(N([TRADE] &lt;= Tabela13[[#This Row],[TRADE]]), [APORTE RF])</f>
        <v>100</v>
      </c>
      <c r="I3" s="3">
        <f>[MONTANTE] - SUMPRODUCT(N([TRADE] &lt;= Tabela13[[#This Row],[TRADE]]), [SAQUE]) + SUMPRODUCT(N([TRADE] &lt; Tabela13[[#This Row],[TRADE]]), [REINVESTIR])</f>
        <v>100</v>
      </c>
      <c r="J3" s="3">
        <f>TRUNC([APLICAÇÃO]  * SETUP!$A$3, 2)</f>
        <v>0.03</v>
      </c>
      <c r="K3" s="3">
        <f>TRUNC([APLICAÇÃO]  * SETUP!$B$3, 2)</f>
        <v>0.02</v>
      </c>
      <c r="L3" s="3">
        <f>TRUNC([APLICAÇÃO]  * SETUP!$C$3, 2)</f>
        <v>0.06</v>
      </c>
      <c r="M3" s="3">
        <f>TRUNC(SETUP!$G$3  * SETUP!$H$3, 2)</f>
        <v>0.28999999999999998</v>
      </c>
      <c r="N3" s="3">
        <f>ROUND(SETUP!$G$3 * SETUP!$I$3, 2)</f>
        <v>0.57999999999999996</v>
      </c>
      <c r="O3" s="3">
        <f>SETUP!$G$3 + SUM(Tabela13[[#This Row],[EMOL CP]]:Tabela13[[#This Row],[OUTRAS CP]])</f>
        <v>15.88</v>
      </c>
      <c r="P3" s="3">
        <f>TRUNC([APLICAÇÃO] * 2  * SETUP!$A$3, 2)</f>
        <v>7.0000000000000007E-2</v>
      </c>
      <c r="Q3" s="3">
        <f>TRUNC([APLICAÇÃO] * 2  * SETUP!$B$3, 2)</f>
        <v>0.05</v>
      </c>
      <c r="R3" s="3">
        <f>TRUNC([APLICAÇÃO] * 2  * SETUP!$C$3, 2)</f>
        <v>0.13</v>
      </c>
      <c r="S3" s="3">
        <f>TRUNC(SETUP!$G$3  * SETUP!$H$3, 2)</f>
        <v>0.28999999999999998</v>
      </c>
      <c r="T3" s="3">
        <f>ROUND(SETUP!$G$3 * SETUP!$I$3, 2)</f>
        <v>0.57999999999999996</v>
      </c>
      <c r="U3" s="3">
        <f>SETUP!$G$3 + SUM(Tabela13[[#This Row],[EMOL VD]]:Tabela13[[#This Row],[OUTRAS VD]])</f>
        <v>16.02</v>
      </c>
      <c r="V3" s="3">
        <f>((([APLICAÇÃO] * 2) - [TAXA VD]) - ([APLICAÇÃO] + [TAXA CP])) * 0.85</f>
        <v>57.884999999999991</v>
      </c>
      <c r="W3" s="11">
        <f>[APLICAÇÃO] - (ROUND([RENDA FIXA] * 0.1,2))</f>
        <v>100</v>
      </c>
      <c r="X3" s="4">
        <f>Tabela13[[#This Row],[PERDA MAX]]/Tabela13[[#This Row],[APLICAÇÃO]]</f>
        <v>1</v>
      </c>
      <c r="Y3" s="4">
        <f>IF([LUCRO] &lt; ([RENDA FIXA]/2), 0.8, 0.8)</f>
        <v>0.8</v>
      </c>
      <c r="Z3" s="3">
        <f>IF([LUCRO] &lt; 0, 0, ROUND([LUCRO]*[NO BOLSO], 2))</f>
        <v>393.25</v>
      </c>
      <c r="AA3" s="3">
        <f>[LUCRO]-[PROTEÇÃO MÊS]</f>
        <v>98.31</v>
      </c>
      <c r="AB3" s="3">
        <f>[RENDA FIXA] + [PROTEÇÃO MÊS] - [APORTE RF]</f>
        <v>393.25</v>
      </c>
      <c r="AC3" s="6">
        <f>[TOT RF] + [REINVESTIR] + [APLICAÇÃO]</f>
        <v>591.55999999999995</v>
      </c>
    </row>
    <row r="4" spans="1:29">
      <c r="A4" s="29">
        <v>3</v>
      </c>
      <c r="B4" s="26">
        <v>41061</v>
      </c>
      <c r="C4" s="30">
        <v>393.25</v>
      </c>
      <c r="D4" s="30">
        <v>0</v>
      </c>
      <c r="E4" s="30">
        <v>0</v>
      </c>
      <c r="F4" s="30">
        <v>516.97</v>
      </c>
      <c r="G4" s="31">
        <f>100</f>
        <v>100</v>
      </c>
      <c r="H4" s="31">
        <f>SUMPRODUCT(N([TRADE] &lt;= Tabela13[[#This Row],[TRADE]]), [APORTE]) + SUMPRODUCT(N([TRADE] &lt;= Tabela13[[#This Row],[TRADE]]), [APORTE RF])</f>
        <v>200</v>
      </c>
      <c r="I4" s="31">
        <f>[MONTANTE] - SUMPRODUCT(N([TRADE] &lt;= Tabela13[[#This Row],[TRADE]]), [SAQUE]) + SUMPRODUCT(N([TRADE] &lt; Tabela13[[#This Row],[TRADE]]), [REINVESTIR])</f>
        <v>298.31</v>
      </c>
      <c r="J4" s="31">
        <f>TRUNC([APLICAÇÃO]  * SETUP!$A$3, 2)</f>
        <v>0.11</v>
      </c>
      <c r="K4" s="31">
        <f>TRUNC([APLICAÇÃO]  * SETUP!$B$3, 2)</f>
        <v>0.08</v>
      </c>
      <c r="L4" s="31">
        <f>TRUNC([APLICAÇÃO]  * SETUP!$C$3, 2)</f>
        <v>0.2</v>
      </c>
      <c r="M4" s="31">
        <f>TRUNC(SETUP!$G$3  * SETUP!$H$3, 2)</f>
        <v>0.28999999999999998</v>
      </c>
      <c r="N4" s="31">
        <f>ROUND(SETUP!$G$3 * SETUP!$I$3, 2)</f>
        <v>0.57999999999999996</v>
      </c>
      <c r="O4" s="31">
        <f>SETUP!$G$3 + SUM(Tabela13[[#This Row],[EMOL CP]]:Tabela13[[#This Row],[OUTRAS CP]])</f>
        <v>16.16</v>
      </c>
      <c r="P4" s="31">
        <f>TRUNC([APLICAÇÃO] * 2  * SETUP!$A$3, 2)</f>
        <v>0.22</v>
      </c>
      <c r="Q4" s="31">
        <f>TRUNC([APLICAÇÃO] * 2  * SETUP!$B$3, 2)</f>
        <v>0.16</v>
      </c>
      <c r="R4" s="31">
        <f>TRUNC([APLICAÇÃO] * 2  * SETUP!$C$3, 2)</f>
        <v>0.41</v>
      </c>
      <c r="S4" s="31">
        <f>TRUNC(SETUP!$G$3  * SETUP!$H$3, 2)</f>
        <v>0.28999999999999998</v>
      </c>
      <c r="T4" s="31">
        <f>ROUND(SETUP!$G$3 * SETUP!$I$3, 2)</f>
        <v>0.57999999999999996</v>
      </c>
      <c r="U4" s="31">
        <f>SETUP!$G$3 + SUM(Tabela13[[#This Row],[EMOL VD]]:Tabela13[[#This Row],[OUTRAS VD]])</f>
        <v>16.560000000000002</v>
      </c>
      <c r="V4" s="31">
        <f>((([APLICAÇÃO] * 2) - [TAXA VD]) - ([APLICAÇÃO] + [TAXA CP])) * 0.85</f>
        <v>225.75149999999994</v>
      </c>
      <c r="W4" s="32">
        <f>[APLICAÇÃO] - (ROUND([RENDA FIXA] * 0.1,2))</f>
        <v>258.98</v>
      </c>
      <c r="X4" s="33">
        <f>Tabela13[[#This Row],[PERDA MAX]]/Tabela13[[#This Row],[APLICAÇÃO]]</f>
        <v>0.86815728604471865</v>
      </c>
      <c r="Y4" s="34">
        <f>IF([LUCRO] &lt; ([RENDA FIXA]/2), 0.8, 0.8)</f>
        <v>0.8</v>
      </c>
      <c r="Z4" s="31">
        <f>IF([LUCRO] &lt; 0, 0, ROUND([LUCRO]*[NO BOLSO], 2))</f>
        <v>413.58</v>
      </c>
      <c r="AA4" s="31">
        <f>[LUCRO]-[PROTEÇÃO MÊS]</f>
        <v>103.39000000000004</v>
      </c>
      <c r="AB4" s="31">
        <f>[RENDA FIXA] + [PROTEÇÃO MÊS] - [APORTE RF]</f>
        <v>806.82999999999993</v>
      </c>
      <c r="AC4" s="31">
        <f>[TOT RF] + [REINVESTIR] + [APLICAÇÃO]</f>
        <v>1208.53</v>
      </c>
    </row>
    <row r="5" spans="1:29">
      <c r="A5" s="1">
        <v>4</v>
      </c>
      <c r="B5" s="26">
        <v>41091</v>
      </c>
      <c r="C5" s="30">
        <v>806.83</v>
      </c>
      <c r="D5" s="30">
        <v>0</v>
      </c>
      <c r="E5" s="30">
        <v>0</v>
      </c>
      <c r="F5" s="21">
        <v>397.95</v>
      </c>
      <c r="G5" s="22">
        <f>100</f>
        <v>100</v>
      </c>
      <c r="H5" s="22">
        <f>SUMPRODUCT(N([TRADE] &lt;= Tabela13[[#This Row],[TRADE]]), [APORTE]) + SUMPRODUCT(N([TRADE] &lt;= Tabela13[[#This Row],[TRADE]]), [APORTE RF])</f>
        <v>300</v>
      </c>
      <c r="I5" s="22">
        <f>[MONTANTE] - SUMPRODUCT(N([TRADE] &lt;= Tabela13[[#This Row],[TRADE]]), [SAQUE]) + SUMPRODUCT(N([TRADE] &lt; Tabela13[[#This Row],[TRADE]]), [REINVESTIR])</f>
        <v>501.70000000000005</v>
      </c>
      <c r="J5" s="22">
        <f>TRUNC([APLICAÇÃO]  * SETUP!$A$3, 2)</f>
        <v>0.18</v>
      </c>
      <c r="K5" s="22">
        <f>TRUNC([APLICAÇÃO]  * SETUP!$B$3, 2)</f>
        <v>0.13</v>
      </c>
      <c r="L5" s="22">
        <f>TRUNC([APLICAÇÃO]  * SETUP!$C$3, 2)</f>
        <v>0.34</v>
      </c>
      <c r="M5" s="22">
        <f>TRUNC(SETUP!$G$3  * SETUP!$H$3, 2)</f>
        <v>0.28999999999999998</v>
      </c>
      <c r="N5" s="22">
        <f>ROUND(SETUP!$G$3 * SETUP!$I$3, 2)</f>
        <v>0.57999999999999996</v>
      </c>
      <c r="O5" s="22">
        <f>SETUP!$G$3 + SUM(Tabela13[[#This Row],[EMOL CP]]:Tabela13[[#This Row],[OUTRAS CP]])</f>
        <v>16.420000000000002</v>
      </c>
      <c r="P5" s="22">
        <f>TRUNC([APLICAÇÃO] * 2  * SETUP!$A$3, 2)</f>
        <v>0.37</v>
      </c>
      <c r="Q5" s="22">
        <f>TRUNC([APLICAÇÃO] * 2  * SETUP!$B$3, 2)</f>
        <v>0.27</v>
      </c>
      <c r="R5" s="22">
        <f>TRUNC([APLICAÇÃO] * 2  * SETUP!$C$3, 2)</f>
        <v>0.69</v>
      </c>
      <c r="S5" s="22">
        <f>TRUNC(SETUP!$G$3  * SETUP!$H$3, 2)</f>
        <v>0.28999999999999998</v>
      </c>
      <c r="T5" s="22">
        <f>ROUND(SETUP!$G$3 * SETUP!$I$3, 2)</f>
        <v>0.57999999999999996</v>
      </c>
      <c r="U5" s="22">
        <f>SETUP!$G$3 + SUM(Tabela13[[#This Row],[EMOL VD]]:Tabela13[[#This Row],[OUTRAS VD]])</f>
        <v>17.100000000000001</v>
      </c>
      <c r="V5" s="22">
        <f>((([APLICAÇÃO] * 2) - [TAXA VD]) - ([APLICAÇÃO] + [TAXA CP])) * 0.85</f>
        <v>397.95300000000003</v>
      </c>
      <c r="W5" s="23">
        <f>[APLICAÇÃO] - (ROUND([RENDA FIXA] * 0.1,2))</f>
        <v>421.02000000000004</v>
      </c>
      <c r="X5" s="24">
        <f>Tabela13[[#This Row],[PERDA MAX]]/Tabela13[[#This Row],[APLICAÇÃO]]</f>
        <v>0.83918676499900335</v>
      </c>
      <c r="Y5" s="25">
        <f>IF([LUCRO] &lt; ([RENDA FIXA]/2), 0.8, 0.8)</f>
        <v>0.8</v>
      </c>
      <c r="Z5" s="22">
        <f>IF([LUCRO] &lt; 0, 0, ROUND([LUCRO]*[NO BOLSO], 2))</f>
        <v>318.36</v>
      </c>
      <c r="AA5" s="22">
        <f>[LUCRO]-[PROTEÇÃO MÊS]</f>
        <v>79.589999999999975</v>
      </c>
      <c r="AB5" s="22">
        <f>[RENDA FIXA] + [PROTEÇÃO MÊS] - [APORTE RF]</f>
        <v>1125.19</v>
      </c>
      <c r="AC5" s="22">
        <f>[TOT RF] + [REINVESTIR] + [APLICAÇÃO]</f>
        <v>1706.48</v>
      </c>
    </row>
    <row r="6" spans="1:29">
      <c r="A6" s="29">
        <v>5</v>
      </c>
      <c r="B6" s="26">
        <v>41122</v>
      </c>
      <c r="C6" s="30">
        <v>1125.19</v>
      </c>
      <c r="D6" s="30">
        <v>0</v>
      </c>
      <c r="E6" s="30">
        <v>0</v>
      </c>
      <c r="F6" s="21">
        <v>549.98</v>
      </c>
      <c r="G6" s="6">
        <f>100</f>
        <v>100</v>
      </c>
      <c r="H6" s="6">
        <f>SUMPRODUCT(N([TRADE] &lt;= Tabela13[[#This Row],[TRADE]]), [APORTE]) + SUMPRODUCT(N([TRADE] &lt;= Tabela13[[#This Row],[TRADE]]), [APORTE RF])</f>
        <v>400</v>
      </c>
      <c r="I6" s="6">
        <f>[MONTANTE] - SUMPRODUCT(N([TRADE] &lt;= Tabela13[[#This Row],[TRADE]]), [SAQUE]) + SUMPRODUCT(N([TRADE] &lt; Tabela13[[#This Row],[TRADE]]), [REINVESTIR])</f>
        <v>681.29</v>
      </c>
      <c r="J6" s="6">
        <f>TRUNC([APLICAÇÃO]  * SETUP!$A$3, 2)</f>
        <v>0.25</v>
      </c>
      <c r="K6" s="6">
        <f>TRUNC([APLICAÇÃO]  * SETUP!$B$3, 2)</f>
        <v>0.18</v>
      </c>
      <c r="L6" s="6">
        <f>TRUNC([APLICAÇÃO]  * SETUP!$C$3, 2)</f>
        <v>0.47</v>
      </c>
      <c r="M6" s="6">
        <f>TRUNC(SETUP!$G$3  * SETUP!$H$3, 2)</f>
        <v>0.28999999999999998</v>
      </c>
      <c r="N6" s="6">
        <f>ROUND(SETUP!$G$3 * SETUP!$I$3, 2)</f>
        <v>0.57999999999999996</v>
      </c>
      <c r="O6" s="6">
        <f>SETUP!$G$3 + SUM(Tabela13[[#This Row],[EMOL CP]]:Tabela13[[#This Row],[OUTRAS CP]])</f>
        <v>16.670000000000002</v>
      </c>
      <c r="P6" s="6">
        <f>TRUNC([APLICAÇÃO] * 2  * SETUP!$A$3, 2)</f>
        <v>0.5</v>
      </c>
      <c r="Q6" s="6">
        <f>TRUNC([APLICAÇÃO] * 2  * SETUP!$B$3, 2)</f>
        <v>0.37</v>
      </c>
      <c r="R6" s="6">
        <f>TRUNC([APLICAÇÃO] * 2  * SETUP!$C$3, 2)</f>
        <v>0.94</v>
      </c>
      <c r="S6" s="6">
        <f>TRUNC(SETUP!$G$3  * SETUP!$H$3, 2)</f>
        <v>0.28999999999999998</v>
      </c>
      <c r="T6" s="6">
        <f>ROUND(SETUP!$G$3 * SETUP!$I$3, 2)</f>
        <v>0.57999999999999996</v>
      </c>
      <c r="U6" s="6">
        <f>SETUP!$G$3 + SUM(Tabela13[[#This Row],[EMOL VD]]:Tabela13[[#This Row],[OUTRAS VD]])</f>
        <v>17.580000000000002</v>
      </c>
      <c r="V6" s="6">
        <f>((([APLICAÇÃO] * 2) - [TAXA VD]) - ([APLICAÇÃO] + [TAXA CP])) * 0.85</f>
        <v>549.98400000000004</v>
      </c>
      <c r="W6" s="14">
        <f>[APLICAÇÃO] - (ROUND([RENDA FIXA] * 0.1,2))</f>
        <v>568.77</v>
      </c>
      <c r="X6" s="4">
        <f>Tabela13[[#This Row],[PERDA MAX]]/Tabela13[[#This Row],[APLICAÇÃO]]</f>
        <v>0.83484272483083566</v>
      </c>
      <c r="Y6" s="15">
        <f>IF([LUCRO] &lt; ([RENDA FIXA]/2), 0.8, 0.8)</f>
        <v>0.8</v>
      </c>
      <c r="Z6" s="6">
        <f>IF([LUCRO] &lt; 0, 0, ROUND([LUCRO]*[NO BOLSO], 2))</f>
        <v>439.98</v>
      </c>
      <c r="AA6" s="6">
        <f>[LUCRO]-[PROTEÇÃO MÊS]</f>
        <v>110</v>
      </c>
      <c r="AB6" s="6">
        <f>[RENDA FIXA] + [PROTEÇÃO MÊS] - [APORTE RF]</f>
        <v>1565.17</v>
      </c>
      <c r="AC6" s="6">
        <f>[TOT RF] + [REINVESTIR] + [APLICAÇÃO]</f>
        <v>2356.46</v>
      </c>
    </row>
    <row r="7" spans="1:29">
      <c r="A7" s="1">
        <v>6</v>
      </c>
      <c r="B7" s="26">
        <v>41153</v>
      </c>
      <c r="C7" s="30">
        <v>1565.17</v>
      </c>
      <c r="D7" s="30">
        <v>0</v>
      </c>
      <c r="E7" s="30">
        <v>0</v>
      </c>
      <c r="F7" s="21">
        <v>727.78</v>
      </c>
      <c r="G7" s="6">
        <f>100</f>
        <v>100</v>
      </c>
      <c r="H7" s="6">
        <f>SUMPRODUCT(N([TRADE] &lt;= Tabela13[[#This Row],[TRADE]]), [APORTE]) + SUMPRODUCT(N([TRADE] &lt;= Tabela13[[#This Row],[TRADE]]), [APORTE RF])</f>
        <v>500</v>
      </c>
      <c r="I7" s="6">
        <f>[MONTANTE] - SUMPRODUCT(N([TRADE] &lt;= Tabela13[[#This Row],[TRADE]]), [SAQUE]) + SUMPRODUCT(N([TRADE] &lt; Tabela13[[#This Row],[TRADE]]), [REINVESTIR])</f>
        <v>891.29</v>
      </c>
      <c r="J7" s="6">
        <f>TRUNC([APLICAÇÃO]  * SETUP!$A$3, 2)</f>
        <v>0.32</v>
      </c>
      <c r="K7" s="6">
        <f>TRUNC([APLICAÇÃO]  * SETUP!$B$3, 2)</f>
        <v>0.24</v>
      </c>
      <c r="L7" s="6">
        <f>TRUNC([APLICAÇÃO]  * SETUP!$C$3, 2)</f>
        <v>0.61</v>
      </c>
      <c r="M7" s="6">
        <f>TRUNC(SETUP!$G$3  * SETUP!$H$3, 2)</f>
        <v>0.28999999999999998</v>
      </c>
      <c r="N7" s="6">
        <f>ROUND(SETUP!$G$3 * SETUP!$I$3, 2)</f>
        <v>0.57999999999999996</v>
      </c>
      <c r="O7" s="6">
        <f>SETUP!$G$3 + SUM(Tabela13[[#This Row],[EMOL CP]]:Tabela13[[#This Row],[OUTRAS CP]])</f>
        <v>16.940000000000001</v>
      </c>
      <c r="P7" s="6">
        <f>TRUNC([APLICAÇÃO] * 2  * SETUP!$A$3, 2)</f>
        <v>0.65</v>
      </c>
      <c r="Q7" s="6">
        <f>TRUNC([APLICAÇÃO] * 2  * SETUP!$B$3, 2)</f>
        <v>0.49</v>
      </c>
      <c r="R7" s="6">
        <f>TRUNC([APLICAÇÃO] * 2  * SETUP!$C$3, 2)</f>
        <v>1.23</v>
      </c>
      <c r="S7" s="6">
        <f>TRUNC(SETUP!$G$3  * SETUP!$H$3, 2)</f>
        <v>0.28999999999999998</v>
      </c>
      <c r="T7" s="6">
        <f>ROUND(SETUP!$G$3 * SETUP!$I$3, 2)</f>
        <v>0.57999999999999996</v>
      </c>
      <c r="U7" s="6">
        <f>SETUP!$G$3 + SUM(Tabela13[[#This Row],[EMOL VD]]:Tabela13[[#This Row],[OUTRAS VD]])</f>
        <v>18.14</v>
      </c>
      <c r="V7" s="6">
        <f>((([APLICAÇÃO] * 2) - [TAXA VD]) - ([APLICAÇÃO] + [TAXA CP])) * 0.85</f>
        <v>727.77849999999978</v>
      </c>
      <c r="W7" s="14">
        <f>[APLICAÇÃO] - (ROUND([RENDA FIXA] * 0.1,2))</f>
        <v>734.77</v>
      </c>
      <c r="X7" s="4">
        <f>Tabela13[[#This Row],[PERDA MAX]]/Tabela13[[#This Row],[APLICAÇÃO]]</f>
        <v>0.82438936821909814</v>
      </c>
      <c r="Y7" s="15">
        <f>IF([LUCRO] &lt; ([RENDA FIXA]/2), 0.8, 0.8)</f>
        <v>0.8</v>
      </c>
      <c r="Z7" s="6">
        <f>IF([LUCRO] &lt; 0, 0, ROUND([LUCRO]*[NO BOLSO], 2))</f>
        <v>582.22</v>
      </c>
      <c r="AA7" s="6">
        <f>[LUCRO]-[PROTEÇÃO MÊS]</f>
        <v>145.55999999999995</v>
      </c>
      <c r="AB7" s="6">
        <f>[RENDA FIXA] + [PROTEÇÃO MÊS] - [APORTE RF]</f>
        <v>2147.3900000000003</v>
      </c>
      <c r="AC7" s="6">
        <f>[TOT RF] + [REINVESTIR] + [APLICAÇÃO]</f>
        <v>3184.2400000000002</v>
      </c>
    </row>
    <row r="8" spans="1:29">
      <c r="A8" s="29">
        <v>7</v>
      </c>
      <c r="B8" s="26">
        <v>41183</v>
      </c>
      <c r="C8" s="30">
        <v>2147.39</v>
      </c>
      <c r="D8" s="30">
        <v>0</v>
      </c>
      <c r="E8" s="30">
        <v>0</v>
      </c>
      <c r="F8" s="21">
        <v>935.64</v>
      </c>
      <c r="G8" s="6">
        <f>100</f>
        <v>100</v>
      </c>
      <c r="H8" s="6">
        <f>SUMPRODUCT(N([TRADE] &lt;= Tabela13[[#This Row],[TRADE]]), [APORTE]) + SUMPRODUCT(N([TRADE] &lt;= Tabela13[[#This Row],[TRADE]]), [APORTE RF])</f>
        <v>600</v>
      </c>
      <c r="I8" s="6">
        <f>[MONTANTE] - SUMPRODUCT(N([TRADE] &lt;= Tabela13[[#This Row],[TRADE]]), [SAQUE]) + SUMPRODUCT(N([TRADE] &lt; Tabela13[[#This Row],[TRADE]]), [REINVESTIR])</f>
        <v>1136.8499999999999</v>
      </c>
      <c r="J8" s="6">
        <f>TRUNC([APLICAÇÃO]  * SETUP!$A$3, 2)</f>
        <v>0.42</v>
      </c>
      <c r="K8" s="6">
        <f>TRUNC([APLICAÇÃO]  * SETUP!$B$3, 2)</f>
        <v>0.31</v>
      </c>
      <c r="L8" s="6">
        <f>TRUNC([APLICAÇÃO]  * SETUP!$C$3, 2)</f>
        <v>0.79</v>
      </c>
      <c r="M8" s="6">
        <f>TRUNC(SETUP!$G$3  * SETUP!$H$3, 2)</f>
        <v>0.28999999999999998</v>
      </c>
      <c r="N8" s="6">
        <f>ROUND(SETUP!$G$3 * SETUP!$I$3, 2)</f>
        <v>0.57999999999999996</v>
      </c>
      <c r="O8" s="6">
        <f>SETUP!$G$3 + SUM(Tabela13[[#This Row],[EMOL CP]]:Tabela13[[#This Row],[OUTRAS CP]])</f>
        <v>17.29</v>
      </c>
      <c r="P8" s="6">
        <f>TRUNC([APLICAÇÃO] * 2  * SETUP!$A$3, 2)</f>
        <v>0.84</v>
      </c>
      <c r="Q8" s="6">
        <f>TRUNC([APLICAÇÃO] * 2  * SETUP!$B$3, 2)</f>
        <v>0.62</v>
      </c>
      <c r="R8" s="6">
        <f>TRUNC([APLICAÇÃO] * 2  * SETUP!$C$3, 2)</f>
        <v>1.58</v>
      </c>
      <c r="S8" s="6">
        <f>TRUNC(SETUP!$G$3  * SETUP!$H$3, 2)</f>
        <v>0.28999999999999998</v>
      </c>
      <c r="T8" s="6">
        <f>ROUND(SETUP!$G$3 * SETUP!$I$3, 2)</f>
        <v>0.57999999999999996</v>
      </c>
      <c r="U8" s="6">
        <f>SETUP!$G$3 + SUM(Tabela13[[#This Row],[EMOL VD]]:Tabela13[[#This Row],[OUTRAS VD]])</f>
        <v>18.810000000000002</v>
      </c>
      <c r="V8" s="6">
        <f>((([APLICAÇÃO] * 2) - [TAXA VD]) - ([APLICAÇÃO] + [TAXA CP])) * 0.85</f>
        <v>935.63749999999993</v>
      </c>
      <c r="W8" s="14">
        <f>[APLICAÇÃO] - (ROUND([RENDA FIXA] * 0.1,2))</f>
        <v>922.1099999999999</v>
      </c>
      <c r="X8" s="4">
        <f>Tabela13[[#This Row],[PERDA MAX]]/Tabela13[[#This Row],[APLICAÇÃO]]</f>
        <v>0.81110964507190919</v>
      </c>
      <c r="Y8" s="15">
        <f>IF([LUCRO] &lt; ([RENDA FIXA]/2), 0.8, 0.8)</f>
        <v>0.8</v>
      </c>
      <c r="Z8" s="6">
        <f>IF([LUCRO] &lt; 0, 0, ROUND([LUCRO]*[NO BOLSO], 2))</f>
        <v>748.51</v>
      </c>
      <c r="AA8" s="6">
        <f>[LUCRO]-[PROTEÇÃO MÊS]</f>
        <v>187.13</v>
      </c>
      <c r="AB8" s="6">
        <f>[RENDA FIXA] + [PROTEÇÃO MÊS] - [APORTE RF]</f>
        <v>2895.8999999999996</v>
      </c>
      <c r="AC8" s="6">
        <f>[TOT RF] + [REINVESTIR] + [APLICAÇÃO]</f>
        <v>4219.8799999999992</v>
      </c>
    </row>
    <row r="9" spans="1:29">
      <c r="A9" s="1">
        <v>8</v>
      </c>
      <c r="B9" s="26">
        <v>41214</v>
      </c>
      <c r="C9" s="30">
        <v>2895.9</v>
      </c>
      <c r="D9" s="30">
        <v>0</v>
      </c>
      <c r="E9" s="30">
        <v>0</v>
      </c>
      <c r="F9" s="21">
        <v>1178.74</v>
      </c>
      <c r="G9" s="22">
        <f>100</f>
        <v>100</v>
      </c>
      <c r="H9" s="22">
        <f>SUMPRODUCT(N([TRADE] &lt;= Tabela13[[#This Row],[TRADE]]), [APORTE]) + SUMPRODUCT(N([TRADE] &lt;= Tabela13[[#This Row],[TRADE]]), [APORTE RF])</f>
        <v>700</v>
      </c>
      <c r="I9" s="22">
        <f>[MONTANTE] - SUMPRODUCT(N([TRADE] &lt;= Tabela13[[#This Row],[TRADE]]), [SAQUE]) + SUMPRODUCT(N([TRADE] &lt; Tabela13[[#This Row],[TRADE]]), [REINVESTIR])</f>
        <v>1423.98</v>
      </c>
      <c r="J9" s="22">
        <f>TRUNC([APLICAÇÃO]  * SETUP!$A$3, 2)</f>
        <v>0.52</v>
      </c>
      <c r="K9" s="22">
        <f>TRUNC([APLICAÇÃO]  * SETUP!$B$3, 2)</f>
        <v>0.39</v>
      </c>
      <c r="L9" s="22">
        <f>TRUNC([APLICAÇÃO]  * SETUP!$C$3, 2)</f>
        <v>0.98</v>
      </c>
      <c r="M9" s="22">
        <f>TRUNC(SETUP!$G$3  * SETUP!$H$3, 2)</f>
        <v>0.28999999999999998</v>
      </c>
      <c r="N9" s="22">
        <f>ROUND(SETUP!$G$3 * SETUP!$I$3, 2)</f>
        <v>0.57999999999999996</v>
      </c>
      <c r="O9" s="22">
        <f>SETUP!$G$3 + SUM(Tabela13[[#This Row],[EMOL CP]]:Tabela13[[#This Row],[OUTRAS CP]])</f>
        <v>17.66</v>
      </c>
      <c r="P9" s="22">
        <f>TRUNC([APLICAÇÃO] * 2  * SETUP!$A$3, 2)</f>
        <v>1.05</v>
      </c>
      <c r="Q9" s="22">
        <f>TRUNC([APLICAÇÃO] * 2  * SETUP!$B$3, 2)</f>
        <v>0.78</v>
      </c>
      <c r="R9" s="22">
        <f>TRUNC([APLICAÇÃO] * 2  * SETUP!$C$3, 2)</f>
        <v>1.97</v>
      </c>
      <c r="S9" s="22">
        <f>TRUNC(SETUP!$G$3  * SETUP!$H$3, 2)</f>
        <v>0.28999999999999998</v>
      </c>
      <c r="T9" s="22">
        <f>ROUND(SETUP!$G$3 * SETUP!$I$3, 2)</f>
        <v>0.57999999999999996</v>
      </c>
      <c r="U9" s="22">
        <f>SETUP!$G$3 + SUM(Tabela13[[#This Row],[EMOL VD]]:Tabela13[[#This Row],[OUTRAS VD]])</f>
        <v>19.57</v>
      </c>
      <c r="V9" s="22">
        <f>((([APLICAÇÃO] * 2) - [TAXA VD]) - ([APLICAÇÃO] + [TAXA CP])) * 0.85</f>
        <v>1178.7374999999997</v>
      </c>
      <c r="W9" s="23">
        <f>[APLICAÇÃO] - (ROUND([RENDA FIXA] * 0.1,2))</f>
        <v>1134.3900000000001</v>
      </c>
      <c r="X9" s="24">
        <f>Tabela13[[#This Row],[PERDA MAX]]/Tabela13[[#This Row],[APLICAÇÃO]]</f>
        <v>0.79663337968229897</v>
      </c>
      <c r="Y9" s="25">
        <f>IF([LUCRO] &lt; ([RENDA FIXA]/2), 0.8, 0.8)</f>
        <v>0.8</v>
      </c>
      <c r="Z9" s="22">
        <f>IF([LUCRO] &lt; 0, 0, ROUND([LUCRO]*[NO BOLSO], 2))</f>
        <v>942.99</v>
      </c>
      <c r="AA9" s="22">
        <f>[LUCRO]-[PROTEÇÃO MÊS]</f>
        <v>235.75</v>
      </c>
      <c r="AB9" s="22">
        <f>[RENDA FIXA] + [PROTEÇÃO MÊS] - [APORTE RF]</f>
        <v>3838.8900000000003</v>
      </c>
      <c r="AC9" s="22">
        <f>[TOT RF] + [REINVESTIR] + [APLICAÇÃO]</f>
        <v>5498.6200000000008</v>
      </c>
    </row>
    <row r="10" spans="1:29">
      <c r="A10" s="29">
        <v>9</v>
      </c>
      <c r="B10" s="26">
        <v>41244</v>
      </c>
      <c r="C10" s="30">
        <v>3838.89</v>
      </c>
      <c r="D10" s="30">
        <v>0</v>
      </c>
      <c r="E10" s="30">
        <v>0</v>
      </c>
      <c r="F10" s="21">
        <v>1462.97</v>
      </c>
      <c r="G10" s="22">
        <f>100</f>
        <v>100</v>
      </c>
      <c r="H10" s="22">
        <f>SUMPRODUCT(N([TRADE] &lt;= Tabela13[[#This Row],[TRADE]]), [APORTE]) + SUMPRODUCT(N([TRADE] &lt;= Tabela13[[#This Row],[TRADE]]), [APORTE RF])</f>
        <v>800</v>
      </c>
      <c r="I10" s="22">
        <f>[MONTANTE] - SUMPRODUCT(N([TRADE] &lt;= Tabela13[[#This Row],[TRADE]]), [SAQUE]) + SUMPRODUCT(N([TRADE] &lt; Tabela13[[#This Row],[TRADE]]), [REINVESTIR])</f>
        <v>1759.73</v>
      </c>
      <c r="J10" s="22">
        <f>TRUNC([APLICAÇÃO]  * SETUP!$A$3, 2)</f>
        <v>0.65</v>
      </c>
      <c r="K10" s="22">
        <f>TRUNC([APLICAÇÃO]  * SETUP!$B$3, 2)</f>
        <v>0.48</v>
      </c>
      <c r="L10" s="22">
        <f>TRUNC([APLICAÇÃO]  * SETUP!$C$3, 2)</f>
        <v>1.22</v>
      </c>
      <c r="M10" s="22">
        <f>TRUNC(SETUP!$G$3  * SETUP!$H$3, 2)</f>
        <v>0.28999999999999998</v>
      </c>
      <c r="N10" s="22">
        <f>ROUND(SETUP!$G$3 * SETUP!$I$3, 2)</f>
        <v>0.57999999999999996</v>
      </c>
      <c r="O10" s="22">
        <f>SETUP!$G$3 + SUM(Tabela13[[#This Row],[EMOL CP]]:Tabela13[[#This Row],[OUTRAS CP]])</f>
        <v>18.12</v>
      </c>
      <c r="P10" s="22">
        <f>TRUNC([APLICAÇÃO] * 2  * SETUP!$A$3, 2)</f>
        <v>1.3</v>
      </c>
      <c r="Q10" s="22">
        <f>TRUNC([APLICAÇÃO] * 2  * SETUP!$B$3, 2)</f>
        <v>0.96</v>
      </c>
      <c r="R10" s="22">
        <f>TRUNC([APLICAÇÃO] * 2  * SETUP!$C$3, 2)</f>
        <v>2.44</v>
      </c>
      <c r="S10" s="22">
        <f>TRUNC(SETUP!$G$3  * SETUP!$H$3, 2)</f>
        <v>0.28999999999999998</v>
      </c>
      <c r="T10" s="22">
        <f>ROUND(SETUP!$G$3 * SETUP!$I$3, 2)</f>
        <v>0.57999999999999996</v>
      </c>
      <c r="U10" s="22">
        <f>SETUP!$G$3 + SUM(Tabela13[[#This Row],[EMOL VD]]:Tabela13[[#This Row],[OUTRAS VD]])</f>
        <v>20.47</v>
      </c>
      <c r="V10" s="22">
        <f>((([APLICAÇÃO] * 2) - [TAXA VD]) - ([APLICAÇÃO] + [TAXA CP])) * 0.85</f>
        <v>1462.9690000000003</v>
      </c>
      <c r="W10" s="23">
        <f>[APLICAÇÃO] - (ROUND([RENDA FIXA] * 0.1,2))</f>
        <v>1375.8400000000001</v>
      </c>
      <c r="X10" s="24">
        <f>Tabela13[[#This Row],[PERDA MAX]]/Tabela13[[#This Row],[APLICAÇÃO]]</f>
        <v>0.78184721519778611</v>
      </c>
      <c r="Y10" s="25">
        <f>IF([LUCRO] &lt; ([RENDA FIXA]/2), 0.8, 0.8)</f>
        <v>0.8</v>
      </c>
      <c r="Z10" s="22">
        <f>IF([LUCRO] &lt; 0, 0, ROUND([LUCRO]*[NO BOLSO], 2))</f>
        <v>1170.3800000000001</v>
      </c>
      <c r="AA10" s="22">
        <f>[LUCRO]-[PROTEÇÃO MÊS]</f>
        <v>292.58999999999992</v>
      </c>
      <c r="AB10" s="22">
        <f>[RENDA FIXA] + [PROTEÇÃO MÊS] - [APORTE RF]</f>
        <v>5009.2700000000004</v>
      </c>
      <c r="AC10" s="22">
        <f>[TOT RF] + [REINVESTIR] + [APLICAÇÃO]</f>
        <v>7061.59</v>
      </c>
    </row>
    <row r="11" spans="1:29">
      <c r="A11" s="1">
        <v>10</v>
      </c>
      <c r="B11" s="26">
        <v>41275</v>
      </c>
      <c r="C11" s="3">
        <v>5009.2700000000004</v>
      </c>
      <c r="D11" s="3"/>
      <c r="E11" s="3"/>
      <c r="F11" s="3">
        <v>1795.33</v>
      </c>
      <c r="G11" s="6">
        <f>100</f>
        <v>100</v>
      </c>
      <c r="H11" s="6">
        <f>SUMPRODUCT(N([TRADE] &lt;= Tabela13[[#This Row],[TRADE]]), [APORTE]) + SUMPRODUCT(N([TRADE] &lt;= Tabela13[[#This Row],[TRADE]]), [APORTE RF])</f>
        <v>900</v>
      </c>
      <c r="I11" s="6">
        <f>[MONTANTE] - SUMPRODUCT(N([TRADE] &lt;= Tabela13[[#This Row],[TRADE]]), [SAQUE]) + SUMPRODUCT(N([TRADE] &lt; Tabela13[[#This Row],[TRADE]]), [REINVESTIR])</f>
        <v>2152.3199999999997</v>
      </c>
      <c r="J11" s="6">
        <f>TRUNC([APLICAÇÃO]  * SETUP!$A$3, 2)</f>
        <v>0.79</v>
      </c>
      <c r="K11" s="6">
        <f>TRUNC([APLICAÇÃO]  * SETUP!$B$3, 2)</f>
        <v>0.59</v>
      </c>
      <c r="L11" s="6">
        <f>TRUNC([APLICAÇÃO]  * SETUP!$C$3, 2)</f>
        <v>1.49</v>
      </c>
      <c r="M11" s="6">
        <f>TRUNC(SETUP!$G$3  * SETUP!$H$3, 2)</f>
        <v>0.28999999999999998</v>
      </c>
      <c r="N11" s="6">
        <f>ROUND(SETUP!$G$3 * SETUP!$I$3, 2)</f>
        <v>0.57999999999999996</v>
      </c>
      <c r="O11" s="6">
        <f>SETUP!$G$3 + SUM(Tabela13[[#This Row],[EMOL CP]]:Tabela13[[#This Row],[OUTRAS CP]])</f>
        <v>18.64</v>
      </c>
      <c r="P11" s="6">
        <f>TRUNC([APLICAÇÃO] * 2  * SETUP!$A$3, 2)</f>
        <v>1.59</v>
      </c>
      <c r="Q11" s="6">
        <f>TRUNC([APLICAÇÃO] * 2  * SETUP!$B$3, 2)</f>
        <v>1.18</v>
      </c>
      <c r="R11" s="6">
        <f>TRUNC([APLICAÇÃO] * 2  * SETUP!$C$3, 2)</f>
        <v>2.99</v>
      </c>
      <c r="S11" s="6">
        <f>TRUNC(SETUP!$G$3  * SETUP!$H$3, 2)</f>
        <v>0.28999999999999998</v>
      </c>
      <c r="T11" s="6">
        <f>ROUND(SETUP!$G$3 * SETUP!$I$3, 2)</f>
        <v>0.57999999999999996</v>
      </c>
      <c r="U11" s="6">
        <f>SETUP!$G$3 + SUM(Tabela13[[#This Row],[EMOL VD]]:Tabela13[[#This Row],[OUTRAS VD]])</f>
        <v>21.53</v>
      </c>
      <c r="V11" s="6">
        <f>((([APLICAÇÃO] * 2) - [TAXA VD]) - ([APLICAÇÃO] + [TAXA CP])) * 0.85</f>
        <v>1795.3275000000001</v>
      </c>
      <c r="W11" s="14">
        <f>[APLICAÇÃO] - (ROUND([RENDA FIXA] * 0.1,2))</f>
        <v>1651.3899999999996</v>
      </c>
      <c r="X11" s="4">
        <f>Tabela13[[#This Row],[PERDA MAX]]/Tabela13[[#This Row],[APLICAÇÃO]]</f>
        <v>0.76726044454356224</v>
      </c>
      <c r="Y11" s="15">
        <f>IF([LUCRO] &lt; ([RENDA FIXA]/2), 0.8, 0.8)</f>
        <v>0.8</v>
      </c>
      <c r="Z11" s="6">
        <f>IF([LUCRO] &lt; 0, 0, ROUND([LUCRO]*[NO BOLSO], 2))</f>
        <v>1436.26</v>
      </c>
      <c r="AA11" s="6">
        <f>[LUCRO]-[PROTEÇÃO MÊS]</f>
        <v>359.06999999999994</v>
      </c>
      <c r="AB11" s="6">
        <f>[RENDA FIXA] + [PROTEÇÃO MÊS] - [APORTE RF]</f>
        <v>6445.5300000000007</v>
      </c>
      <c r="AC11" s="6">
        <f>[TOT RF] + [REINVESTIR] + [APLICAÇÃO]</f>
        <v>8956.92</v>
      </c>
    </row>
    <row r="12" spans="1:29">
      <c r="A12" s="29">
        <v>11</v>
      </c>
      <c r="B12" s="26">
        <v>41306</v>
      </c>
      <c r="C12" s="3">
        <v>6445.53</v>
      </c>
      <c r="D12" s="3"/>
      <c r="E12" s="3"/>
      <c r="F12" s="3">
        <v>2183.98</v>
      </c>
      <c r="G12" s="6">
        <f>100</f>
        <v>100</v>
      </c>
      <c r="H12" s="6">
        <f>SUMPRODUCT(N([TRADE] &lt;= Tabela13[[#This Row],[TRADE]]), [APORTE]) + SUMPRODUCT(N([TRADE] &lt;= Tabela13[[#This Row],[TRADE]]), [APORTE RF])</f>
        <v>1000</v>
      </c>
      <c r="I12" s="6">
        <f>[MONTANTE] - SUMPRODUCT(N([TRADE] &lt;= Tabela13[[#This Row],[TRADE]]), [SAQUE]) + SUMPRODUCT(N([TRADE] &lt; Tabela13[[#This Row],[TRADE]]), [REINVESTIR])</f>
        <v>2611.3899999999994</v>
      </c>
      <c r="J12" s="6">
        <f>TRUNC([APLICAÇÃO]  * SETUP!$A$3, 2)</f>
        <v>0.96</v>
      </c>
      <c r="K12" s="6">
        <f>TRUNC([APLICAÇÃO]  * SETUP!$B$3, 2)</f>
        <v>0.71</v>
      </c>
      <c r="L12" s="6">
        <f>TRUNC([APLICAÇÃO]  * SETUP!$C$3, 2)</f>
        <v>1.81</v>
      </c>
      <c r="M12" s="6">
        <f>TRUNC(SETUP!$G$3  * SETUP!$H$3, 2)</f>
        <v>0.28999999999999998</v>
      </c>
      <c r="N12" s="6">
        <f>ROUND(SETUP!$G$3 * SETUP!$I$3, 2)</f>
        <v>0.57999999999999996</v>
      </c>
      <c r="O12" s="6">
        <f>SETUP!$G$3 + SUM(Tabela13[[#This Row],[EMOL CP]]:Tabela13[[#This Row],[OUTRAS CP]])</f>
        <v>19.25</v>
      </c>
      <c r="P12" s="6">
        <f>TRUNC([APLICAÇÃO] * 2  * SETUP!$A$3, 2)</f>
        <v>1.93</v>
      </c>
      <c r="Q12" s="6">
        <f>TRUNC([APLICAÇÃO] * 2  * SETUP!$B$3, 2)</f>
        <v>1.43</v>
      </c>
      <c r="R12" s="6">
        <f>TRUNC([APLICAÇÃO] * 2  * SETUP!$C$3, 2)</f>
        <v>3.62</v>
      </c>
      <c r="S12" s="6">
        <f>TRUNC(SETUP!$G$3  * SETUP!$H$3, 2)</f>
        <v>0.28999999999999998</v>
      </c>
      <c r="T12" s="6">
        <f>ROUND(SETUP!$G$3 * SETUP!$I$3, 2)</f>
        <v>0.57999999999999996</v>
      </c>
      <c r="U12" s="6">
        <f>SETUP!$G$3 + SUM(Tabela13[[#This Row],[EMOL VD]]:Tabela13[[#This Row],[OUTRAS VD]])</f>
        <v>22.75</v>
      </c>
      <c r="V12" s="6">
        <f>((([APLICAÇÃO] * 2) - [TAXA VD]) - ([APLICAÇÃO] + [TAXA CP])) * 0.85</f>
        <v>2183.9814999999994</v>
      </c>
      <c r="W12" s="14">
        <f>[APLICAÇÃO] - (ROUND([RENDA FIXA] * 0.1,2))</f>
        <v>1966.8399999999995</v>
      </c>
      <c r="X12" s="4">
        <f>Tabela13[[#This Row],[PERDA MAX]]/Tabela13[[#This Row],[APLICAÇÃO]]</f>
        <v>0.75317742658124598</v>
      </c>
      <c r="Y12" s="15">
        <f>IF([LUCRO] &lt; ([RENDA FIXA]/2), 0.8, 0.8)</f>
        <v>0.8</v>
      </c>
      <c r="Z12" s="6">
        <f>IF([LUCRO] &lt; 0, 0, ROUND([LUCRO]*[NO BOLSO], 2))</f>
        <v>1747.18</v>
      </c>
      <c r="AA12" s="6">
        <f>[LUCRO]-[PROTEÇÃO MÊS]</f>
        <v>436.79999999999995</v>
      </c>
      <c r="AB12" s="6">
        <f>[RENDA FIXA] + [PROTEÇÃO MÊS] - [APORTE RF]</f>
        <v>8192.7099999999991</v>
      </c>
      <c r="AC12" s="6">
        <f>[TOT RF] + [REINVESTIR] + [APLICAÇÃO]</f>
        <v>11240.899999999998</v>
      </c>
    </row>
    <row r="13" spans="1:29">
      <c r="A13" s="1">
        <v>12</v>
      </c>
      <c r="B13" s="26">
        <v>41334</v>
      </c>
      <c r="C13" s="3">
        <v>8192.7099999999991</v>
      </c>
      <c r="D13" s="3"/>
      <c r="E13" s="3"/>
      <c r="F13" s="3">
        <v>2638.43</v>
      </c>
      <c r="G13" s="6">
        <f>100</f>
        <v>100</v>
      </c>
      <c r="H13" s="6">
        <f>SUMPRODUCT(N([TRADE] &lt;= Tabela13[[#This Row],[TRADE]]), [APORTE]) + SUMPRODUCT(N([TRADE] &lt;= Tabela13[[#This Row],[TRADE]]), [APORTE RF])</f>
        <v>1100</v>
      </c>
      <c r="I13" s="6">
        <f>[MONTANTE] - SUMPRODUCT(N([TRADE] &lt;= Tabela13[[#This Row],[TRADE]]), [SAQUE]) + SUMPRODUCT(N([TRADE] &lt; Tabela13[[#This Row],[TRADE]]), [REINVESTIR])</f>
        <v>3148.1899999999996</v>
      </c>
      <c r="J13" s="6">
        <f>TRUNC([APLICAÇÃO]  * SETUP!$A$3, 2)</f>
        <v>1.1599999999999999</v>
      </c>
      <c r="K13" s="6">
        <f>TRUNC([APLICAÇÃO]  * SETUP!$B$3, 2)</f>
        <v>0.86</v>
      </c>
      <c r="L13" s="6">
        <f>TRUNC([APLICAÇÃO]  * SETUP!$C$3, 2)</f>
        <v>2.1800000000000002</v>
      </c>
      <c r="M13" s="6">
        <f>TRUNC(SETUP!$G$3  * SETUP!$H$3, 2)</f>
        <v>0.28999999999999998</v>
      </c>
      <c r="N13" s="6">
        <f>ROUND(SETUP!$G$3 * SETUP!$I$3, 2)</f>
        <v>0.57999999999999996</v>
      </c>
      <c r="O13" s="6">
        <f>SETUP!$G$3 + SUM(Tabela13[[#This Row],[EMOL CP]]:Tabela13[[#This Row],[OUTRAS CP]])</f>
        <v>19.97</v>
      </c>
      <c r="P13" s="6">
        <f>TRUNC([APLICAÇÃO] * 2  * SETUP!$A$3, 2)</f>
        <v>2.3199999999999998</v>
      </c>
      <c r="Q13" s="6">
        <f>TRUNC([APLICAÇÃO] * 2  * SETUP!$B$3, 2)</f>
        <v>1.73</v>
      </c>
      <c r="R13" s="6">
        <f>TRUNC([APLICAÇÃO] * 2  * SETUP!$C$3, 2)</f>
        <v>4.37</v>
      </c>
      <c r="S13" s="6">
        <f>TRUNC(SETUP!$G$3  * SETUP!$H$3, 2)</f>
        <v>0.28999999999999998</v>
      </c>
      <c r="T13" s="6">
        <f>ROUND(SETUP!$G$3 * SETUP!$I$3, 2)</f>
        <v>0.57999999999999996</v>
      </c>
      <c r="U13" s="6">
        <f>SETUP!$G$3 + SUM(Tabela13[[#This Row],[EMOL VD]]:Tabela13[[#This Row],[OUTRAS VD]])</f>
        <v>24.189999999999998</v>
      </c>
      <c r="V13" s="6">
        <f>((([APLICAÇÃO] * 2) - [TAXA VD]) - ([APLICAÇÃO] + [TAXA CP])) * 0.85</f>
        <v>2638.4255000000003</v>
      </c>
      <c r="W13" s="14">
        <f>[APLICAÇÃO] - (ROUND([RENDA FIXA] * 0.1,2))</f>
        <v>2328.9199999999996</v>
      </c>
      <c r="X13" s="4">
        <f>Tabela13[[#This Row],[PERDA MAX]]/Tabela13[[#This Row],[APLICAÇÃO]]</f>
        <v>0.739764753715627</v>
      </c>
      <c r="Y13" s="15">
        <f>IF([LUCRO] &lt; ([RENDA FIXA]/2), 0.8, 0.8)</f>
        <v>0.8</v>
      </c>
      <c r="Z13" s="6">
        <f>IF([LUCRO] &lt; 0, 0, ROUND([LUCRO]*[NO BOLSO], 2))</f>
        <v>2110.7399999999998</v>
      </c>
      <c r="AA13" s="6">
        <f>[LUCRO]-[PROTEÇÃO MÊS]</f>
        <v>527.69000000000005</v>
      </c>
      <c r="AB13" s="6">
        <f>[RENDA FIXA] + [PROTEÇÃO MÊS] - [APORTE RF]</f>
        <v>10303.449999999999</v>
      </c>
      <c r="AC13" s="6">
        <f>[TOT RF] + [REINVESTIR] + [APLICAÇÃO]</f>
        <v>13979.329999999998</v>
      </c>
    </row>
    <row r="14" spans="1:29">
      <c r="A14" s="29">
        <v>13</v>
      </c>
      <c r="B14" s="26">
        <v>41365</v>
      </c>
      <c r="C14" s="3">
        <v>10303.450000000001</v>
      </c>
      <c r="D14" s="3"/>
      <c r="E14" s="3"/>
      <c r="F14" s="3">
        <v>3169.82</v>
      </c>
      <c r="G14" s="6">
        <f>100</f>
        <v>100</v>
      </c>
      <c r="H14" s="6">
        <f>SUMPRODUCT(N([TRADE] &lt;= Tabela13[[#This Row],[TRADE]]), [APORTE]) + SUMPRODUCT(N([TRADE] &lt;= Tabela13[[#This Row],[TRADE]]), [APORTE RF])</f>
        <v>1200</v>
      </c>
      <c r="I14" s="6">
        <f>[MONTANTE] - SUMPRODUCT(N([TRADE] &lt;= Tabela13[[#This Row],[TRADE]]), [SAQUE]) + SUMPRODUCT(N([TRADE] &lt; Tabela13[[#This Row],[TRADE]]), [REINVESTIR])</f>
        <v>3775.8799999999997</v>
      </c>
      <c r="J14" s="6">
        <f>TRUNC([APLICAÇÃO]  * SETUP!$A$3, 2)</f>
        <v>1.39</v>
      </c>
      <c r="K14" s="6">
        <f>TRUNC([APLICAÇÃO]  * SETUP!$B$3, 2)</f>
        <v>1.03</v>
      </c>
      <c r="L14" s="6">
        <f>TRUNC([APLICAÇÃO]  * SETUP!$C$3, 2)</f>
        <v>2.62</v>
      </c>
      <c r="M14" s="6">
        <f>TRUNC(SETUP!$G$3  * SETUP!$H$3, 2)</f>
        <v>0.28999999999999998</v>
      </c>
      <c r="N14" s="6">
        <f>ROUND(SETUP!$G$3 * SETUP!$I$3, 2)</f>
        <v>0.57999999999999996</v>
      </c>
      <c r="O14" s="6">
        <f>SETUP!$G$3 + SUM(Tabela13[[#This Row],[EMOL CP]]:Tabela13[[#This Row],[OUTRAS CP]])</f>
        <v>20.810000000000002</v>
      </c>
      <c r="P14" s="6">
        <f>TRUNC([APLICAÇÃO] * 2  * SETUP!$A$3, 2)</f>
        <v>2.79</v>
      </c>
      <c r="Q14" s="6">
        <f>TRUNC([APLICAÇÃO] * 2  * SETUP!$B$3, 2)</f>
        <v>2.0699999999999998</v>
      </c>
      <c r="R14" s="6">
        <f>TRUNC([APLICAÇÃO] * 2  * SETUP!$C$3, 2)</f>
        <v>5.24</v>
      </c>
      <c r="S14" s="6">
        <f>TRUNC(SETUP!$G$3  * SETUP!$H$3, 2)</f>
        <v>0.28999999999999998</v>
      </c>
      <c r="T14" s="6">
        <f>ROUND(SETUP!$G$3 * SETUP!$I$3, 2)</f>
        <v>0.57999999999999996</v>
      </c>
      <c r="U14" s="6">
        <f>SETUP!$G$3 + SUM(Tabela13[[#This Row],[EMOL VD]]:Tabela13[[#This Row],[OUTRAS VD]])</f>
        <v>25.869999999999997</v>
      </c>
      <c r="V14" s="6">
        <f>((([APLICAÇÃO] * 2) - [TAXA VD]) - ([APLICAÇÃO] + [TAXA CP])) * 0.85</f>
        <v>3169.8199999999997</v>
      </c>
      <c r="W14" s="14">
        <f>[APLICAÇÃO] - (ROUND([RENDA FIXA] * 0.1,2))</f>
        <v>2745.5299999999997</v>
      </c>
      <c r="X14" s="4">
        <f>Tabela13[[#This Row],[PERDA MAX]]/Tabela13[[#This Row],[APLICAÇÃO]]</f>
        <v>0.72712321366145105</v>
      </c>
      <c r="Y14" s="15">
        <f>IF([LUCRO] &lt; ([RENDA FIXA]/2), 0.8, 0.8)</f>
        <v>0.8</v>
      </c>
      <c r="Z14" s="6">
        <f>IF([LUCRO] &lt; 0, 0, ROUND([LUCRO]*[NO BOLSO], 2))</f>
        <v>2535.86</v>
      </c>
      <c r="AA14" s="6">
        <f>[LUCRO]-[PROTEÇÃO MÊS]</f>
        <v>633.96</v>
      </c>
      <c r="AB14" s="6">
        <f>[RENDA FIXA] + [PROTEÇÃO MÊS] - [APORTE RF]</f>
        <v>12839.310000000001</v>
      </c>
      <c r="AC14" s="6">
        <f>[TOT RF] + [REINVESTIR] + [APLICAÇÃO]</f>
        <v>17249.150000000001</v>
      </c>
    </row>
    <row r="15" spans="1:29">
      <c r="A15" s="1">
        <v>14</v>
      </c>
      <c r="B15" s="26">
        <v>41395</v>
      </c>
      <c r="C15" s="3">
        <v>12839.31</v>
      </c>
      <c r="D15" s="3"/>
      <c r="E15" s="3"/>
      <c r="F15" s="3">
        <v>3791.17</v>
      </c>
      <c r="G15" s="6">
        <f>100</f>
        <v>100</v>
      </c>
      <c r="H15" s="6">
        <f>SUMPRODUCT(N([TRADE] &lt;= Tabela13[[#This Row],[TRADE]]), [APORTE]) + SUMPRODUCT(N([TRADE] &lt;= Tabela13[[#This Row],[TRADE]]), [APORTE RF])</f>
        <v>1300</v>
      </c>
      <c r="I15" s="6">
        <f>[MONTANTE] - SUMPRODUCT(N([TRADE] &lt;= Tabela13[[#This Row],[TRADE]]), [SAQUE]) + SUMPRODUCT(N([TRADE] &lt; Tabela13[[#This Row],[TRADE]]), [REINVESTIR])</f>
        <v>4509.84</v>
      </c>
      <c r="J15" s="6">
        <f>TRUNC([APLICAÇÃO]  * SETUP!$A$3, 2)</f>
        <v>1.66</v>
      </c>
      <c r="K15" s="6">
        <f>TRUNC([APLICAÇÃO]  * SETUP!$B$3, 2)</f>
        <v>1.24</v>
      </c>
      <c r="L15" s="6">
        <f>TRUNC([APLICAÇÃO]  * SETUP!$C$3, 2)</f>
        <v>3.13</v>
      </c>
      <c r="M15" s="6">
        <f>TRUNC(SETUP!$G$3  * SETUP!$H$3, 2)</f>
        <v>0.28999999999999998</v>
      </c>
      <c r="N15" s="6">
        <f>ROUND(SETUP!$G$3 * SETUP!$I$3, 2)</f>
        <v>0.57999999999999996</v>
      </c>
      <c r="O15" s="6">
        <f>SETUP!$G$3 + SUM(Tabela13[[#This Row],[EMOL CP]]:Tabela13[[#This Row],[OUTRAS CP]])</f>
        <v>21.8</v>
      </c>
      <c r="P15" s="6">
        <f>TRUNC([APLICAÇÃO] * 2  * SETUP!$A$3, 2)</f>
        <v>3.33</v>
      </c>
      <c r="Q15" s="6">
        <f>TRUNC([APLICAÇÃO] * 2  * SETUP!$B$3, 2)</f>
        <v>2.48</v>
      </c>
      <c r="R15" s="6">
        <f>TRUNC([APLICAÇÃO] * 2  * SETUP!$C$3, 2)</f>
        <v>6.26</v>
      </c>
      <c r="S15" s="6">
        <f>TRUNC(SETUP!$G$3  * SETUP!$H$3, 2)</f>
        <v>0.28999999999999998</v>
      </c>
      <c r="T15" s="6">
        <f>ROUND(SETUP!$G$3 * SETUP!$I$3, 2)</f>
        <v>0.57999999999999996</v>
      </c>
      <c r="U15" s="6">
        <f>SETUP!$G$3 + SUM(Tabela13[[#This Row],[EMOL VD]]:Tabela13[[#This Row],[OUTRAS VD]])</f>
        <v>27.84</v>
      </c>
      <c r="V15" s="6">
        <f>((([APLICAÇÃO] * 2) - [TAXA VD]) - ([APLICAÇÃO] + [TAXA CP])) * 0.85</f>
        <v>3791.1699999999996</v>
      </c>
      <c r="W15" s="14">
        <f>[APLICAÇÃO] - (ROUND([RENDA FIXA] * 0.1,2))</f>
        <v>3225.91</v>
      </c>
      <c r="X15" s="4">
        <f>Tabela13[[#This Row],[PERDA MAX]]/Tabela13[[#This Row],[APLICAÇÃO]]</f>
        <v>0.71530475582282294</v>
      </c>
      <c r="Y15" s="15">
        <f>IF([LUCRO] &lt; ([RENDA FIXA]/2), 0.8, 0.8)</f>
        <v>0.8</v>
      </c>
      <c r="Z15" s="6">
        <f>IF([LUCRO] &lt; 0, 0, ROUND([LUCRO]*[NO BOLSO], 2))</f>
        <v>3032.94</v>
      </c>
      <c r="AA15" s="6">
        <f>[LUCRO]-[PROTEÇÃO MÊS]</f>
        <v>758.23</v>
      </c>
      <c r="AB15" s="6">
        <f>[RENDA FIXA] + [PROTEÇÃO MÊS] - [APORTE RF]</f>
        <v>15872.25</v>
      </c>
      <c r="AC15" s="6">
        <f>[TOT RF] + [REINVESTIR] + [APLICAÇÃO]</f>
        <v>21140.32</v>
      </c>
    </row>
    <row r="16" spans="1:29">
      <c r="A16" s="29">
        <v>15</v>
      </c>
      <c r="B16" s="26">
        <v>41426</v>
      </c>
      <c r="C16" s="21">
        <v>15872.25</v>
      </c>
      <c r="D16" s="21"/>
      <c r="E16" s="21"/>
      <c r="F16" s="21">
        <v>4517.72</v>
      </c>
      <c r="G16" s="22">
        <f>100</f>
        <v>100</v>
      </c>
      <c r="H16" s="22">
        <f>SUMPRODUCT(N([TRADE] &lt;= Tabela13[[#This Row],[TRADE]]), [APORTE]) + SUMPRODUCT(N([TRADE] &lt;= Tabela13[[#This Row],[TRADE]]), [APORTE RF])</f>
        <v>1400</v>
      </c>
      <c r="I16" s="22">
        <f>[MONTANTE] - SUMPRODUCT(N([TRADE] &lt;= Tabela13[[#This Row],[TRADE]]), [SAQUE]) + SUMPRODUCT(N([TRADE] &lt; Tabela13[[#This Row],[TRADE]]), [REINVESTIR])</f>
        <v>5368.07</v>
      </c>
      <c r="J16" s="22">
        <f>TRUNC([APLICAÇÃO]  * SETUP!$A$3, 2)</f>
        <v>1.98</v>
      </c>
      <c r="K16" s="22">
        <f>TRUNC([APLICAÇÃO]  * SETUP!$B$3, 2)</f>
        <v>1.47</v>
      </c>
      <c r="L16" s="22">
        <f>TRUNC([APLICAÇÃO]  * SETUP!$C$3, 2)</f>
        <v>3.73</v>
      </c>
      <c r="M16" s="22">
        <f>TRUNC(SETUP!$G$3  * SETUP!$H$3, 2)</f>
        <v>0.28999999999999998</v>
      </c>
      <c r="N16" s="22">
        <f>ROUND(SETUP!$G$3 * SETUP!$I$3, 2)</f>
        <v>0.57999999999999996</v>
      </c>
      <c r="O16" s="22">
        <f>SETUP!$G$3 + SUM(Tabela13[[#This Row],[EMOL CP]]:Tabela13[[#This Row],[OUTRAS CP]])</f>
        <v>22.95</v>
      </c>
      <c r="P16" s="22">
        <f>TRUNC([APLICAÇÃO] * 2  * SETUP!$A$3, 2)</f>
        <v>3.97</v>
      </c>
      <c r="Q16" s="22">
        <f>TRUNC([APLICAÇÃO] * 2  * SETUP!$B$3, 2)</f>
        <v>2.95</v>
      </c>
      <c r="R16" s="22">
        <f>TRUNC([APLICAÇÃO] * 2  * SETUP!$C$3, 2)</f>
        <v>7.46</v>
      </c>
      <c r="S16" s="22">
        <f>TRUNC(SETUP!$G$3  * SETUP!$H$3, 2)</f>
        <v>0.28999999999999998</v>
      </c>
      <c r="T16" s="22">
        <f>ROUND(SETUP!$G$3 * SETUP!$I$3, 2)</f>
        <v>0.57999999999999996</v>
      </c>
      <c r="U16" s="22">
        <f>SETUP!$G$3 + SUM(Tabela13[[#This Row],[EMOL VD]]:Tabela13[[#This Row],[OUTRAS VD]])</f>
        <v>30.15</v>
      </c>
      <c r="V16" s="22">
        <f>((([APLICAÇÃO] * 2) - [TAXA VD]) - ([APLICAÇÃO] + [TAXA CP])) * 0.85</f>
        <v>4517.7245000000003</v>
      </c>
      <c r="W16" s="23">
        <f>[APLICAÇÃO] - (ROUND([RENDA FIXA] * 0.1,2))</f>
        <v>3780.8399999999997</v>
      </c>
      <c r="X16" s="24">
        <f>Tabela13[[#This Row],[PERDA MAX]]/Tabela13[[#This Row],[APLICAÇÃO]]</f>
        <v>0.70432017466240193</v>
      </c>
      <c r="Y16" s="25">
        <f>IF([LUCRO] &lt; ([RENDA FIXA]/2), 0.8, 0.8)</f>
        <v>0.8</v>
      </c>
      <c r="Z16" s="22">
        <f>IF([LUCRO] &lt; 0, 0, ROUND([LUCRO]*[NO BOLSO], 2))</f>
        <v>3614.18</v>
      </c>
      <c r="AA16" s="22">
        <f>[LUCRO]-[PROTEÇÃO MÊS]</f>
        <v>903.54000000000042</v>
      </c>
      <c r="AB16" s="22">
        <f>[RENDA FIXA] + [PROTEÇÃO MÊS] - [APORTE RF]</f>
        <v>19486.43</v>
      </c>
      <c r="AC16" s="22">
        <f>[TOT RF] + [REINVESTIR] + [APLICAÇÃO]</f>
        <v>25758.04</v>
      </c>
    </row>
    <row r="17" spans="1:29">
      <c r="A17" s="1">
        <v>16</v>
      </c>
      <c r="B17" s="26">
        <v>41456</v>
      </c>
      <c r="C17" s="3">
        <v>19486.43</v>
      </c>
      <c r="D17" s="3"/>
      <c r="E17" s="3"/>
      <c r="F17" s="3">
        <v>5367.32</v>
      </c>
      <c r="G17" s="6">
        <f>100</f>
        <v>100</v>
      </c>
      <c r="H17" s="6">
        <f>SUMPRODUCT(N([TRADE] &lt;= Tabela13[[#This Row],[TRADE]]), [APORTE]) + SUMPRODUCT(N([TRADE] &lt;= Tabela13[[#This Row],[TRADE]]), [APORTE RF])</f>
        <v>1500</v>
      </c>
      <c r="I17" s="6">
        <f>[MONTANTE] - SUMPRODUCT(N([TRADE] &lt;= Tabela13[[#This Row],[TRADE]]), [SAQUE]) + SUMPRODUCT(N([TRADE] &lt; Tabela13[[#This Row],[TRADE]]), [REINVESTIR])</f>
        <v>6371.6100000000006</v>
      </c>
      <c r="J17" s="6">
        <f>TRUNC([APLICAÇÃO]  * SETUP!$A$3, 2)</f>
        <v>2.35</v>
      </c>
      <c r="K17" s="6">
        <f>TRUNC([APLICAÇÃO]  * SETUP!$B$3, 2)</f>
        <v>1.75</v>
      </c>
      <c r="L17" s="6">
        <f>TRUNC([APLICAÇÃO]  * SETUP!$C$3, 2)</f>
        <v>4.42</v>
      </c>
      <c r="M17" s="6">
        <f>TRUNC(SETUP!$G$3  * SETUP!$H$3, 2)</f>
        <v>0.28999999999999998</v>
      </c>
      <c r="N17" s="6">
        <f>ROUND(SETUP!$G$3 * SETUP!$I$3, 2)</f>
        <v>0.57999999999999996</v>
      </c>
      <c r="O17" s="6">
        <f>SETUP!$G$3 + SUM(Tabela13[[#This Row],[EMOL CP]]:Tabela13[[#This Row],[OUTRAS CP]])</f>
        <v>24.29</v>
      </c>
      <c r="P17" s="6">
        <f>TRUNC([APLICAÇÃO] * 2  * SETUP!$A$3, 2)</f>
        <v>4.71</v>
      </c>
      <c r="Q17" s="6">
        <f>TRUNC([APLICAÇÃO] * 2  * SETUP!$B$3, 2)</f>
        <v>3.5</v>
      </c>
      <c r="R17" s="6">
        <f>TRUNC([APLICAÇÃO] * 2  * SETUP!$C$3, 2)</f>
        <v>8.85</v>
      </c>
      <c r="S17" s="6">
        <f>TRUNC(SETUP!$G$3  * SETUP!$H$3, 2)</f>
        <v>0.28999999999999998</v>
      </c>
      <c r="T17" s="6">
        <f>ROUND(SETUP!$G$3 * SETUP!$I$3, 2)</f>
        <v>0.57999999999999996</v>
      </c>
      <c r="U17" s="6">
        <f>SETUP!$G$3 + SUM(Tabela13[[#This Row],[EMOL VD]]:Tabela13[[#This Row],[OUTRAS VD]])</f>
        <v>32.83</v>
      </c>
      <c r="V17" s="6">
        <f>((([APLICAÇÃO] * 2) - [TAXA VD]) - ([APLICAÇÃO] + [TAXA CP])) * 0.85</f>
        <v>5367.3165000000008</v>
      </c>
      <c r="W17" s="14">
        <f>[APLICAÇÃO] - (ROUND([RENDA FIXA] * 0.1,2))</f>
        <v>4422.97</v>
      </c>
      <c r="X17" s="4">
        <f>Tabela13[[#This Row],[PERDA MAX]]/Tabela13[[#This Row],[APLICAÇÃO]]</f>
        <v>0.69416834991469967</v>
      </c>
      <c r="Y17" s="15">
        <f>IF([LUCRO] &lt; ([RENDA FIXA]/2), 0.8, 0.8)</f>
        <v>0.8</v>
      </c>
      <c r="Z17" s="6">
        <f>IF([LUCRO] &lt; 0, 0, ROUND([LUCRO]*[NO BOLSO], 2))</f>
        <v>4293.8599999999997</v>
      </c>
      <c r="AA17" s="6">
        <f>[LUCRO]-[PROTEÇÃO MÊS]</f>
        <v>1073.46</v>
      </c>
      <c r="AB17" s="6">
        <f>[RENDA FIXA] + [PROTEÇÃO MÊS] - [APORTE RF]</f>
        <v>23780.29</v>
      </c>
      <c r="AC17" s="6">
        <f>[TOT RF] + [REINVESTIR] + [APLICAÇÃO]</f>
        <v>31225.360000000001</v>
      </c>
    </row>
    <row r="18" spans="1:29">
      <c r="A18" s="29">
        <v>17</v>
      </c>
      <c r="B18" s="26">
        <v>41487</v>
      </c>
      <c r="C18" s="3">
        <v>23780.29</v>
      </c>
      <c r="D18" s="3"/>
      <c r="E18" s="3"/>
      <c r="F18" s="3">
        <v>6360.75</v>
      </c>
      <c r="G18" s="6">
        <f>100</f>
        <v>100</v>
      </c>
      <c r="H18" s="6">
        <f>SUMPRODUCT(N([TRADE] &lt;= Tabela13[[#This Row],[TRADE]]), [APORTE]) + SUMPRODUCT(N([TRADE] &lt;= Tabela13[[#This Row],[TRADE]]), [APORTE RF])</f>
        <v>1600</v>
      </c>
      <c r="I18" s="6">
        <f>[MONTANTE] - SUMPRODUCT(N([TRADE] &lt;= Tabela13[[#This Row],[TRADE]]), [SAQUE]) + SUMPRODUCT(N([TRADE] &lt; Tabela13[[#This Row],[TRADE]]), [REINVESTIR])</f>
        <v>7545.0700000000006</v>
      </c>
      <c r="J18" s="6">
        <f>TRUNC([APLICAÇÃO]  * SETUP!$A$3, 2)</f>
        <v>2.79</v>
      </c>
      <c r="K18" s="6">
        <f>TRUNC([APLICAÇÃO]  * SETUP!$B$3, 2)</f>
        <v>2.0699999999999998</v>
      </c>
      <c r="L18" s="6">
        <f>TRUNC([APLICAÇÃO]  * SETUP!$C$3, 2)</f>
        <v>5.24</v>
      </c>
      <c r="M18" s="6">
        <f>TRUNC(SETUP!$G$3  * SETUP!$H$3, 2)</f>
        <v>0.28999999999999998</v>
      </c>
      <c r="N18" s="6">
        <f>ROUND(SETUP!$G$3 * SETUP!$I$3, 2)</f>
        <v>0.57999999999999996</v>
      </c>
      <c r="O18" s="6">
        <f>SETUP!$G$3 + SUM(Tabela13[[#This Row],[EMOL CP]]:Tabela13[[#This Row],[OUTRAS CP]])</f>
        <v>25.869999999999997</v>
      </c>
      <c r="P18" s="6">
        <f>TRUNC([APLICAÇÃO] * 2  * SETUP!$A$3, 2)</f>
        <v>5.58</v>
      </c>
      <c r="Q18" s="6">
        <f>TRUNC([APLICAÇÃO] * 2  * SETUP!$B$3, 2)</f>
        <v>4.1399999999999997</v>
      </c>
      <c r="R18" s="6">
        <f>TRUNC([APLICAÇÃO] * 2  * SETUP!$C$3, 2)</f>
        <v>10.48</v>
      </c>
      <c r="S18" s="6">
        <f>TRUNC(SETUP!$G$3  * SETUP!$H$3, 2)</f>
        <v>0.28999999999999998</v>
      </c>
      <c r="T18" s="6">
        <f>ROUND(SETUP!$G$3 * SETUP!$I$3, 2)</f>
        <v>0.57999999999999996</v>
      </c>
      <c r="U18" s="6">
        <f>SETUP!$G$3 + SUM(Tabela13[[#This Row],[EMOL VD]]:Tabela13[[#This Row],[OUTRAS VD]])</f>
        <v>35.97</v>
      </c>
      <c r="V18" s="6">
        <f>((([APLICAÇÃO] * 2) - [TAXA VD]) - ([APLICAÇÃO] + [TAXA CP])) * 0.85</f>
        <v>6360.7455000000009</v>
      </c>
      <c r="W18" s="14">
        <f>[APLICAÇÃO] - (ROUND([RENDA FIXA] * 0.1,2))</f>
        <v>5167.0400000000009</v>
      </c>
      <c r="X18" s="4">
        <f>Tabela13[[#This Row],[PERDA MAX]]/Tabela13[[#This Row],[APLICAÇÃO]]</f>
        <v>0.6848233349723728</v>
      </c>
      <c r="Y18" s="15">
        <f>IF([LUCRO] &lt; ([RENDA FIXA]/2), 0.8, 0.8)</f>
        <v>0.8</v>
      </c>
      <c r="Z18" s="6">
        <f>IF([LUCRO] &lt; 0, 0, ROUND([LUCRO]*[NO BOLSO], 2))</f>
        <v>5088.6000000000004</v>
      </c>
      <c r="AA18" s="6">
        <f>[LUCRO]-[PROTEÇÃO MÊS]</f>
        <v>1272.1499999999996</v>
      </c>
      <c r="AB18" s="6">
        <f>[RENDA FIXA] + [PROTEÇÃO MÊS] - [APORTE RF]</f>
        <v>28868.89</v>
      </c>
      <c r="AC18" s="6">
        <f>[TOT RF] + [REINVESTIR] + [APLICAÇÃO]</f>
        <v>37686.11</v>
      </c>
    </row>
    <row r="19" spans="1:29">
      <c r="A19" s="1">
        <v>18</v>
      </c>
      <c r="B19" s="26">
        <v>41518</v>
      </c>
      <c r="C19" s="3">
        <v>28868.89</v>
      </c>
      <c r="D19" s="3"/>
      <c r="E19" s="3"/>
      <c r="F19" s="3">
        <v>7522.39</v>
      </c>
      <c r="G19" s="6">
        <f>100</f>
        <v>100</v>
      </c>
      <c r="H19" s="6">
        <f>SUMPRODUCT(N([TRADE] &lt;= Tabela13[[#This Row],[TRADE]]), [APORTE]) + SUMPRODUCT(N([TRADE] &lt;= Tabela13[[#This Row],[TRADE]]), [APORTE RF])</f>
        <v>1700</v>
      </c>
      <c r="I19" s="6">
        <f>[MONTANTE] - SUMPRODUCT(N([TRADE] &lt;= Tabela13[[#This Row],[TRADE]]), [SAQUE]) + SUMPRODUCT(N([TRADE] &lt; Tabela13[[#This Row],[TRADE]]), [REINVESTIR])</f>
        <v>8917.2200000000012</v>
      </c>
      <c r="J19" s="6">
        <f>TRUNC([APLICAÇÃO]  * SETUP!$A$3, 2)</f>
        <v>3.29</v>
      </c>
      <c r="K19" s="6">
        <f>TRUNC([APLICAÇÃO]  * SETUP!$B$3, 2)</f>
        <v>2.4500000000000002</v>
      </c>
      <c r="L19" s="6">
        <f>TRUNC([APLICAÇÃO]  * SETUP!$C$3, 2)</f>
        <v>6.19</v>
      </c>
      <c r="M19" s="6">
        <f>TRUNC(SETUP!$G$3  * SETUP!$H$3, 2)</f>
        <v>0.28999999999999998</v>
      </c>
      <c r="N19" s="6">
        <f>ROUND(SETUP!$G$3 * SETUP!$I$3, 2)</f>
        <v>0.57999999999999996</v>
      </c>
      <c r="O19" s="6">
        <f>SETUP!$G$3 + SUM(Tabela13[[#This Row],[EMOL CP]]:Tabela13[[#This Row],[OUTRAS CP]])</f>
        <v>27.7</v>
      </c>
      <c r="P19" s="6">
        <f>TRUNC([APLICAÇÃO] * 2  * SETUP!$A$3, 2)</f>
        <v>6.59</v>
      </c>
      <c r="Q19" s="6">
        <f>TRUNC([APLICAÇÃO] * 2  * SETUP!$B$3, 2)</f>
        <v>4.9000000000000004</v>
      </c>
      <c r="R19" s="6">
        <f>TRUNC([APLICAÇÃO] * 2  * SETUP!$C$3, 2)</f>
        <v>12.39</v>
      </c>
      <c r="S19" s="6">
        <f>TRUNC(SETUP!$G$3  * SETUP!$H$3, 2)</f>
        <v>0.28999999999999998</v>
      </c>
      <c r="T19" s="6">
        <f>ROUND(SETUP!$G$3 * SETUP!$I$3, 2)</f>
        <v>0.57999999999999996</v>
      </c>
      <c r="U19" s="6">
        <f>SETUP!$G$3 + SUM(Tabela13[[#This Row],[EMOL VD]]:Tabela13[[#This Row],[OUTRAS VD]])</f>
        <v>39.65</v>
      </c>
      <c r="V19" s="6">
        <f>((([APLICAÇÃO] * 2) - [TAXA VD]) - ([APLICAÇÃO] + [TAXA CP])) * 0.85</f>
        <v>7522.3894999999993</v>
      </c>
      <c r="W19" s="14">
        <f>[APLICAÇÃO] - (ROUND([RENDA FIXA] * 0.1,2))</f>
        <v>6030.3300000000017</v>
      </c>
      <c r="X19" s="4">
        <f>Tabela13[[#This Row],[PERDA MAX]]/Tabela13[[#This Row],[APLICAÇÃO]]</f>
        <v>0.67625672575085072</v>
      </c>
      <c r="Y19" s="15">
        <f>IF([LUCRO] &lt; ([RENDA FIXA]/2), 0.8, 0.8)</f>
        <v>0.8</v>
      </c>
      <c r="Z19" s="6">
        <f>IF([LUCRO] &lt; 0, 0, ROUND([LUCRO]*[NO BOLSO], 2))</f>
        <v>6017.91</v>
      </c>
      <c r="AA19" s="6">
        <f>[LUCRO]-[PROTEÇÃO MÊS]</f>
        <v>1504.4800000000005</v>
      </c>
      <c r="AB19" s="6">
        <f>[RENDA FIXA] + [PROTEÇÃO MÊS] - [APORTE RF]</f>
        <v>34886.800000000003</v>
      </c>
      <c r="AC19" s="6">
        <f>[TOT RF] + [REINVESTIR] + [APLICAÇÃO]</f>
        <v>45308.500000000007</v>
      </c>
    </row>
    <row r="20" spans="1:29">
      <c r="A20" s="29">
        <v>19</v>
      </c>
      <c r="B20" s="26">
        <v>41548</v>
      </c>
      <c r="C20" s="3">
        <v>34886.800000000003</v>
      </c>
      <c r="D20" s="3"/>
      <c r="E20" s="3"/>
      <c r="F20" s="3">
        <v>8880.7099999999991</v>
      </c>
      <c r="G20" s="6">
        <f>100</f>
        <v>100</v>
      </c>
      <c r="H20" s="6">
        <f>SUMPRODUCT(N([TRADE] &lt;= Tabela13[[#This Row],[TRADE]]), [APORTE]) + SUMPRODUCT(N([TRADE] &lt;= Tabela13[[#This Row],[TRADE]]), [APORTE RF])</f>
        <v>1800</v>
      </c>
      <c r="I20" s="6">
        <f>[MONTANTE] - SUMPRODUCT(N([TRADE] &lt;= Tabela13[[#This Row],[TRADE]]), [SAQUE]) + SUMPRODUCT(N([TRADE] &lt; Tabela13[[#This Row],[TRADE]]), [REINVESTIR])</f>
        <v>10521.7</v>
      </c>
      <c r="J20" s="6">
        <f>TRUNC([APLICAÇÃO]  * SETUP!$A$3, 2)</f>
        <v>3.89</v>
      </c>
      <c r="K20" s="6">
        <f>TRUNC([APLICAÇÃO]  * SETUP!$B$3, 2)</f>
        <v>2.89</v>
      </c>
      <c r="L20" s="6">
        <f>TRUNC([APLICAÇÃO]  * SETUP!$C$3, 2)</f>
        <v>7.31</v>
      </c>
      <c r="M20" s="6">
        <f>TRUNC(SETUP!$G$3  * SETUP!$H$3, 2)</f>
        <v>0.28999999999999998</v>
      </c>
      <c r="N20" s="6">
        <f>ROUND(SETUP!$G$3 * SETUP!$I$3, 2)</f>
        <v>0.57999999999999996</v>
      </c>
      <c r="O20" s="6">
        <f>SETUP!$G$3 + SUM(Tabela13[[#This Row],[EMOL CP]]:Tabela13[[#This Row],[OUTRAS CP]])</f>
        <v>29.86</v>
      </c>
      <c r="P20" s="6">
        <f>TRUNC([APLICAÇÃO] * 2  * SETUP!$A$3, 2)</f>
        <v>7.78</v>
      </c>
      <c r="Q20" s="6">
        <f>TRUNC([APLICAÇÃO] * 2  * SETUP!$B$3, 2)</f>
        <v>5.78</v>
      </c>
      <c r="R20" s="6">
        <f>TRUNC([APLICAÇÃO] * 2  * SETUP!$C$3, 2)</f>
        <v>14.62</v>
      </c>
      <c r="S20" s="6">
        <f>TRUNC(SETUP!$G$3  * SETUP!$H$3, 2)</f>
        <v>0.28999999999999998</v>
      </c>
      <c r="T20" s="6">
        <f>ROUND(SETUP!$G$3 * SETUP!$I$3, 2)</f>
        <v>0.57999999999999996</v>
      </c>
      <c r="U20" s="6">
        <f>SETUP!$G$3 + SUM(Tabela13[[#This Row],[EMOL VD]]:Tabela13[[#This Row],[OUTRAS VD]])</f>
        <v>43.949999999999996</v>
      </c>
      <c r="V20" s="6">
        <f>((([APLICAÇÃO] * 2) - [TAXA VD]) - ([APLICAÇÃO] + [TAXA CP])) * 0.85</f>
        <v>8880.7064999999984</v>
      </c>
      <c r="W20" s="14">
        <f>[APLICAÇÃO] - (ROUND([RENDA FIXA] * 0.1,2))</f>
        <v>7033.02</v>
      </c>
      <c r="X20" s="4">
        <f>Tabela13[[#This Row],[PERDA MAX]]/Tabela13[[#This Row],[APLICAÇÃO]]</f>
        <v>0.66843000655787566</v>
      </c>
      <c r="Y20" s="15">
        <f>IF([LUCRO] &lt; ([RENDA FIXA]/2), 0.8, 0.8)</f>
        <v>0.8</v>
      </c>
      <c r="Z20" s="6">
        <f>IF([LUCRO] &lt; 0, 0, ROUND([LUCRO]*[NO BOLSO], 2))</f>
        <v>7104.57</v>
      </c>
      <c r="AA20" s="6">
        <f>[LUCRO]-[PROTEÇÃO MÊS]</f>
        <v>1776.1399999999994</v>
      </c>
      <c r="AB20" s="6">
        <f>[RENDA FIXA] + [PROTEÇÃO MÊS] - [APORTE RF]</f>
        <v>41991.37</v>
      </c>
      <c r="AC20" s="6">
        <f>[TOT RF] + [REINVESTIR] + [APLICAÇÃO]</f>
        <v>54289.210000000006</v>
      </c>
    </row>
    <row r="21" spans="1:29">
      <c r="A21" s="1">
        <v>20</v>
      </c>
      <c r="B21" s="26">
        <v>41579</v>
      </c>
      <c r="C21" s="3">
        <v>41991.37</v>
      </c>
      <c r="D21" s="3"/>
      <c r="E21" s="3"/>
      <c r="F21" s="3">
        <v>10469.030000000001</v>
      </c>
      <c r="G21" s="6">
        <f>100</f>
        <v>100</v>
      </c>
      <c r="H21" s="6">
        <f>SUMPRODUCT(N([TRADE] &lt;= Tabela13[[#This Row],[TRADE]]), [APORTE]) + SUMPRODUCT(N([TRADE] &lt;= Tabela13[[#This Row],[TRADE]]), [APORTE RF])</f>
        <v>1900</v>
      </c>
      <c r="I21" s="6">
        <f>[MONTANTE] - SUMPRODUCT(N([TRADE] &lt;= Tabela13[[#This Row],[TRADE]]), [SAQUE]) + SUMPRODUCT(N([TRADE] &lt; Tabela13[[#This Row],[TRADE]]), [REINVESTIR])</f>
        <v>12397.84</v>
      </c>
      <c r="J21" s="6">
        <f>TRUNC([APLICAÇÃO]  * SETUP!$A$3, 2)</f>
        <v>4.58</v>
      </c>
      <c r="K21" s="6">
        <f>TRUNC([APLICAÇÃO]  * SETUP!$B$3, 2)</f>
        <v>3.4</v>
      </c>
      <c r="L21" s="6">
        <f>TRUNC([APLICAÇÃO]  * SETUP!$C$3, 2)</f>
        <v>8.61</v>
      </c>
      <c r="M21" s="6">
        <f>TRUNC(SETUP!$G$3  * SETUP!$H$3, 2)</f>
        <v>0.28999999999999998</v>
      </c>
      <c r="N21" s="6">
        <f>ROUND(SETUP!$G$3 * SETUP!$I$3, 2)</f>
        <v>0.57999999999999996</v>
      </c>
      <c r="O21" s="6">
        <f>SETUP!$G$3 + SUM(Tabela13[[#This Row],[EMOL CP]]:Tabela13[[#This Row],[OUTRAS CP]])</f>
        <v>32.36</v>
      </c>
      <c r="P21" s="6">
        <f>TRUNC([APLICAÇÃO] * 2  * SETUP!$A$3, 2)</f>
        <v>9.17</v>
      </c>
      <c r="Q21" s="6">
        <f>TRUNC([APLICAÇÃO] * 2  * SETUP!$B$3, 2)</f>
        <v>6.81</v>
      </c>
      <c r="R21" s="6">
        <f>TRUNC([APLICAÇÃO] * 2  * SETUP!$C$3, 2)</f>
        <v>17.23</v>
      </c>
      <c r="S21" s="6">
        <f>TRUNC(SETUP!$G$3  * SETUP!$H$3, 2)</f>
        <v>0.28999999999999998</v>
      </c>
      <c r="T21" s="6">
        <f>ROUND(SETUP!$G$3 * SETUP!$I$3, 2)</f>
        <v>0.57999999999999996</v>
      </c>
      <c r="U21" s="6">
        <f>SETUP!$G$3 + SUM(Tabela13[[#This Row],[EMOL VD]]:Tabela13[[#This Row],[OUTRAS VD]])</f>
        <v>48.98</v>
      </c>
      <c r="V21" s="6">
        <f>((([APLICAÇÃO] * 2) - [TAXA VD]) - ([APLICAÇÃO] + [TAXA CP])) * 0.85</f>
        <v>10469.025</v>
      </c>
      <c r="W21" s="14">
        <f>[APLICAÇÃO] - (ROUND([RENDA FIXA] * 0.1,2))</f>
        <v>8198.7000000000007</v>
      </c>
      <c r="X21" s="4">
        <f>Tabela13[[#This Row],[PERDA MAX]]/Tabela13[[#This Row],[APLICAÇÃO]]</f>
        <v>0.66130067818265126</v>
      </c>
      <c r="Y21" s="15">
        <f>IF([LUCRO] &lt; ([RENDA FIXA]/2), 0.8, 0.8)</f>
        <v>0.8</v>
      </c>
      <c r="Z21" s="6">
        <f>IF([LUCRO] &lt; 0, 0, ROUND([LUCRO]*[NO BOLSO], 2))</f>
        <v>8375.2199999999993</v>
      </c>
      <c r="AA21" s="6">
        <f>[LUCRO]-[PROTEÇÃO MÊS]</f>
        <v>2093.8100000000013</v>
      </c>
      <c r="AB21" s="6">
        <f>[RENDA FIXA] + [PROTEÇÃO MÊS] - [APORTE RF]</f>
        <v>50366.590000000004</v>
      </c>
      <c r="AC21" s="6">
        <f>[TOT RF] + [REINVESTIR] + [APLICAÇÃO]</f>
        <v>64858.240000000005</v>
      </c>
    </row>
    <row r="22" spans="1:29">
      <c r="A22" s="29">
        <v>21</v>
      </c>
      <c r="B22" s="26">
        <v>41609</v>
      </c>
      <c r="C22" s="21">
        <v>50366.59</v>
      </c>
      <c r="D22" s="21"/>
      <c r="E22" s="21"/>
      <c r="F22" s="21">
        <v>12326.26</v>
      </c>
      <c r="G22" s="22">
        <f>100</f>
        <v>100</v>
      </c>
      <c r="H22" s="22">
        <f>SUMPRODUCT(N([TRADE] &lt;= Tabela13[[#This Row],[TRADE]]), [APORTE]) + SUMPRODUCT(N([TRADE] &lt;= Tabela13[[#This Row],[TRADE]]), [APORTE RF])</f>
        <v>2000</v>
      </c>
      <c r="I22" s="22">
        <f>[MONTANTE] - SUMPRODUCT(N([TRADE] &lt;= Tabela13[[#This Row],[TRADE]]), [SAQUE]) + SUMPRODUCT(N([TRADE] &lt; Tabela13[[#This Row],[TRADE]]), [REINVESTIR])</f>
        <v>14591.650000000001</v>
      </c>
      <c r="J22" s="22">
        <f>TRUNC([APLICAÇÃO]  * SETUP!$A$3, 2)</f>
        <v>5.39</v>
      </c>
      <c r="K22" s="22">
        <f>TRUNC([APLICAÇÃO]  * SETUP!$B$3, 2)</f>
        <v>4.01</v>
      </c>
      <c r="L22" s="22">
        <f>TRUNC([APLICAÇÃO]  * SETUP!$C$3, 2)</f>
        <v>10.14</v>
      </c>
      <c r="M22" s="22">
        <f>TRUNC(SETUP!$G$3  * SETUP!$H$3, 2)</f>
        <v>0.28999999999999998</v>
      </c>
      <c r="N22" s="22">
        <f>ROUND(SETUP!$G$3 * SETUP!$I$3, 2)</f>
        <v>0.57999999999999996</v>
      </c>
      <c r="O22" s="22">
        <f>SETUP!$G$3 + SUM(Tabela13[[#This Row],[EMOL CP]]:Tabela13[[#This Row],[OUTRAS CP]])</f>
        <v>35.309999999999995</v>
      </c>
      <c r="P22" s="22">
        <f>TRUNC([APLICAÇÃO] * 2  * SETUP!$A$3, 2)</f>
        <v>10.79</v>
      </c>
      <c r="Q22" s="22">
        <f>TRUNC([APLICAÇÃO] * 2  * SETUP!$B$3, 2)</f>
        <v>8.02</v>
      </c>
      <c r="R22" s="22">
        <f>TRUNC([APLICAÇÃO] * 2  * SETUP!$C$3, 2)</f>
        <v>20.28</v>
      </c>
      <c r="S22" s="22">
        <f>TRUNC(SETUP!$G$3  * SETUP!$H$3, 2)</f>
        <v>0.28999999999999998</v>
      </c>
      <c r="T22" s="22">
        <f>ROUND(SETUP!$G$3 * SETUP!$I$3, 2)</f>
        <v>0.57999999999999996</v>
      </c>
      <c r="U22" s="22">
        <f>SETUP!$G$3 + SUM(Tabela13[[#This Row],[EMOL VD]]:Tabela13[[#This Row],[OUTRAS VD]])</f>
        <v>54.86</v>
      </c>
      <c r="V22" s="22">
        <f>((([APLICAÇÃO] * 2) - [TAXA VD]) - ([APLICAÇÃO] + [TAXA CP])) * 0.85</f>
        <v>12326.258000000002</v>
      </c>
      <c r="W22" s="23">
        <f>[APLICAÇÃO] - (ROUND([RENDA FIXA] * 0.1,2))</f>
        <v>9554.9900000000016</v>
      </c>
      <c r="X22" s="24">
        <f>Tabela13[[#This Row],[PERDA MAX]]/Tabela13[[#This Row],[APLICAÇÃO]]</f>
        <v>0.65482587644303425</v>
      </c>
      <c r="Y22" s="25">
        <f>IF([LUCRO] &lt; ([RENDA FIXA]/2), 0.8, 0.8)</f>
        <v>0.8</v>
      </c>
      <c r="Z22" s="22">
        <f>IF([LUCRO] &lt; 0, 0, ROUND([LUCRO]*[NO BOLSO], 2))</f>
        <v>9861.01</v>
      </c>
      <c r="AA22" s="22">
        <f>[LUCRO]-[PROTEÇÃO MÊS]</f>
        <v>2465.25</v>
      </c>
      <c r="AB22" s="22">
        <f>[RENDA FIXA] + [PROTEÇÃO MÊS] - [APORTE RF]</f>
        <v>60227.6</v>
      </c>
      <c r="AC22" s="22">
        <f>[TOT RF] + [REINVESTIR] + [APLICAÇÃO]</f>
        <v>77284.5</v>
      </c>
    </row>
    <row r="23" spans="1:29">
      <c r="A23" s="1" t="s">
        <v>37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8"/>
      <c r="X23" s="17"/>
      <c r="Z23" s="17"/>
      <c r="AA23" s="17"/>
      <c r="AB23" s="17"/>
      <c r="AC23" s="1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C23"/>
  <sheetViews>
    <sheetView workbookViewId="0">
      <selection activeCell="X27" sqref="X27"/>
    </sheetView>
  </sheetViews>
  <sheetFormatPr defaultRowHeight="11.25"/>
  <cols>
    <col min="1" max="1" width="7.5703125" style="1" bestFit="1" customWidth="1"/>
    <col min="2" max="2" width="9" style="1" bestFit="1" customWidth="1"/>
    <col min="3" max="3" width="11.570312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2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5">
        <v>41000</v>
      </c>
      <c r="C2" s="3">
        <v>0</v>
      </c>
      <c r="D2" s="3">
        <v>0</v>
      </c>
      <c r="E2" s="3">
        <v>0</v>
      </c>
      <c r="G2" s="3">
        <f>100</f>
        <v>100</v>
      </c>
      <c r="H2" s="3">
        <f>SUMPRODUCT(N([TRADE] &lt;= Tabela134[[#This Row],[TRADE]]), [APORTE]) + SUMPRODUCT(N([TRADE] &lt;= Tabela134[[#This Row],[TRADE]]), [APORTE RF])</f>
        <v>2000</v>
      </c>
      <c r="I2" s="3">
        <f>[MONTANTE] - SUMPRODUCT(N([TRADE] &lt;= Tabela134[[#This Row],[TRADE]]), [SAQUE]) + SUMPRODUCT(N([TRADE] &lt; Tabela134[[#This Row],[TRADE]]), [REINVESTIR])</f>
        <v>2000</v>
      </c>
      <c r="J2" s="3">
        <f>TRUNC([APLICAÇÃO]  * SETUP!$A$3, 2)</f>
        <v>0.74</v>
      </c>
      <c r="K2" s="3">
        <f>TRUNC([APLICAÇÃO]  * SETUP!$B$3, 2)</f>
        <v>0.55000000000000004</v>
      </c>
      <c r="L2" s="3">
        <f>TRUNC([APLICAÇÃO]  * SETUP!$C$3, 2)</f>
        <v>1.39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SUM(Tabela134[[#This Row],[EMOL CP]]:Tabela134[[#This Row],[OUTRAS CP]])</f>
        <v>18.45</v>
      </c>
      <c r="P2" s="3">
        <f>TRUNC([APLICAÇÃO] * 2  * SETUP!$A$3, 2)</f>
        <v>1.48</v>
      </c>
      <c r="Q2" s="3">
        <f>TRUNC([APLICAÇÃO] * 2  * SETUP!$B$3, 2)</f>
        <v>1.1000000000000001</v>
      </c>
      <c r="R2" s="3">
        <f>TRUNC([APLICAÇÃO] * 2  * SETUP!$C$3, 2)</f>
        <v>2.78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SUM(Tabela134[[#This Row],[EMOL VD]]:Tabela134[[#This Row],[OUTRAS VD]])</f>
        <v>21.13</v>
      </c>
      <c r="V2" s="3">
        <f>((([APLICAÇÃO] * 2) - [TAXA VD]) - ([APLICAÇÃO] + [TAXA CP])) * 0.85</f>
        <v>1666.3569999999997</v>
      </c>
      <c r="W2" s="11">
        <f>[APLICAÇÃO] - (ROUND([RENDA FIXA] * 0.1,2))</f>
        <v>2000</v>
      </c>
      <c r="X2" s="4">
        <f>Tabela134[[#This Row],[PERDA MAX]]/Tabela134[[#This Row],[APLICAÇÃO]]</f>
        <v>1</v>
      </c>
      <c r="Y2" s="4">
        <f>IF([LUCRO] &lt; ([RENDA FIXA]/2), 0.8, 0.8)</f>
        <v>0.8</v>
      </c>
      <c r="Z2" s="3">
        <f>IF([LUCRO] &lt; 0, 0, ROUND([LUCRO]*[NO BOLSO], 2))</f>
        <v>0</v>
      </c>
      <c r="AA2" s="3">
        <f>[LUCRO]-[PROTEÇÃO MÊS]</f>
        <v>0</v>
      </c>
      <c r="AB2" s="3">
        <f>[RENDA FIXA] + [PROTEÇÃO MÊS] - [APORTE RF]</f>
        <v>0</v>
      </c>
      <c r="AC2" s="6">
        <f>[TOT RF] + [REINVESTIR] + [APLICAÇÃO]</f>
        <v>2000</v>
      </c>
    </row>
    <row r="3" spans="1:29">
      <c r="A3" s="1">
        <v>2</v>
      </c>
      <c r="B3" s="5">
        <v>41030</v>
      </c>
      <c r="C3" s="3">
        <v>0</v>
      </c>
      <c r="D3" s="3"/>
      <c r="E3" s="3"/>
      <c r="F3" s="3">
        <v>-59.79</v>
      </c>
      <c r="G3" s="6">
        <v>0</v>
      </c>
      <c r="H3" s="6">
        <f>SUMPRODUCT(N([TRADE] &lt;= Tabela134[[#This Row],[TRADE]]), [APORTE]) + SUMPRODUCT(N([TRADE] &lt;= Tabela134[[#This Row],[TRADE]]), [APORTE RF])</f>
        <v>2000</v>
      </c>
      <c r="I3" s="6">
        <f>[MONTANTE] - SUMPRODUCT(N([TRADE] &lt;= Tabela134[[#This Row],[TRADE]]), [SAQUE]) + SUMPRODUCT(N([TRADE] &lt; Tabela134[[#This Row],[TRADE]]), [REINVESTIR])</f>
        <v>2000</v>
      </c>
      <c r="J3" s="6">
        <f>TRUNC([APLICAÇÃO]  * SETUP!$A$3, 2)</f>
        <v>0.74</v>
      </c>
      <c r="K3" s="6">
        <f>TRUNC([APLICAÇÃO]  * SETUP!$B$3, 2)</f>
        <v>0.55000000000000004</v>
      </c>
      <c r="L3" s="6">
        <f>TRUNC([APLICAÇÃO]  * SETUP!$C$3, 2)</f>
        <v>1.39</v>
      </c>
      <c r="M3" s="6">
        <f>TRUNC(SETUP!$G$3  * SETUP!$H$3, 2)</f>
        <v>0.28999999999999998</v>
      </c>
      <c r="N3" s="6">
        <f>ROUND(SETUP!$G$3 * SETUP!$I$3, 2)</f>
        <v>0.57999999999999996</v>
      </c>
      <c r="O3" s="6">
        <f>SETUP!$G$3 + SUM(Tabela134[[#This Row],[EMOL CP]]:Tabela134[[#This Row],[OUTRAS CP]])</f>
        <v>18.45</v>
      </c>
      <c r="P3" s="6">
        <f>TRUNC([APLICAÇÃO] * 2  * SETUP!$A$3, 2)</f>
        <v>1.48</v>
      </c>
      <c r="Q3" s="6">
        <f>TRUNC([APLICAÇÃO] * 2  * SETUP!$B$3, 2)</f>
        <v>1.1000000000000001</v>
      </c>
      <c r="R3" s="6">
        <f>TRUNC([APLICAÇÃO] * 2  * SETUP!$C$3, 2)</f>
        <v>2.78</v>
      </c>
      <c r="S3" s="6">
        <f>TRUNC(SETUP!$G$3  * SETUP!$H$3, 2)</f>
        <v>0.28999999999999998</v>
      </c>
      <c r="T3" s="6">
        <f>ROUND(SETUP!$G$3 * SETUP!$I$3, 2)</f>
        <v>0.57999999999999996</v>
      </c>
      <c r="U3" s="6">
        <f>SETUP!$G$3 + SUM(Tabela134[[#This Row],[EMOL VD]]:Tabela134[[#This Row],[OUTRAS VD]])</f>
        <v>21.13</v>
      </c>
      <c r="V3" s="6">
        <f>((([APLICAÇÃO] * 2) - [TAXA VD]) - ([APLICAÇÃO] + [TAXA CP])) * 0.85</f>
        <v>1666.3569999999997</v>
      </c>
      <c r="W3" s="14">
        <f>[APLICAÇÃO] - (ROUND([RENDA FIXA] * 0.1,2))</f>
        <v>2000</v>
      </c>
      <c r="X3" s="4">
        <f>Tabela134[[#This Row],[PERDA MAX]]/Tabela134[[#This Row],[APLICAÇÃO]]</f>
        <v>1</v>
      </c>
      <c r="Y3" s="15">
        <f>IF([LUCRO] &lt; ([RENDA FIXA]/2), 0.8, 0.8)</f>
        <v>0.8</v>
      </c>
      <c r="Z3" s="6">
        <f>IF([LUCRO] &lt; 0, 0, ROUND([LUCRO]*[NO BOLSO], 2))</f>
        <v>0</v>
      </c>
      <c r="AA3" s="6">
        <f>[LUCRO]-[PROTEÇÃO MÊS]</f>
        <v>-59.79</v>
      </c>
      <c r="AB3" s="6">
        <f>[RENDA FIXA] + [PROTEÇÃO MÊS] - [APORTE RF]</f>
        <v>0</v>
      </c>
      <c r="AC3" s="6">
        <f>[TOT RF] + [REINVESTIR] + [APLICAÇÃO]</f>
        <v>1940.21</v>
      </c>
    </row>
    <row r="4" spans="1:29">
      <c r="A4" s="29"/>
      <c r="B4" s="37"/>
      <c r="C4" s="30"/>
      <c r="D4" s="30"/>
      <c r="E4" s="30"/>
      <c r="F4" s="30"/>
      <c r="G4" s="31">
        <f>100</f>
        <v>100</v>
      </c>
      <c r="H4" s="31">
        <f>SUMPRODUCT(N([TRADE] &lt;= Tabela134[[#This Row],[TRADE]]), [APORTE]) + SUMPRODUCT(N([TRADE] &lt;= Tabela134[[#This Row],[TRADE]]), [APORTE RF])</f>
        <v>1900</v>
      </c>
      <c r="I4" s="31">
        <f>[MONTANTE] - SUMPRODUCT(N([TRADE] &lt;= Tabela134[[#This Row],[TRADE]]), [SAQUE]) + SUMPRODUCT(N([TRADE] &lt; Tabela134[[#This Row],[TRADE]]), [REINVESTIR])</f>
        <v>1900</v>
      </c>
      <c r="J4" s="31">
        <f>TRUNC([APLICAÇÃO]  * SETUP!$A$3, 2)</f>
        <v>0.7</v>
      </c>
      <c r="K4" s="31">
        <f>TRUNC([APLICAÇÃO]  * SETUP!$B$3, 2)</f>
        <v>0.52</v>
      </c>
      <c r="L4" s="31">
        <f>TRUNC([APLICAÇÃO]  * SETUP!$C$3, 2)</f>
        <v>1.32</v>
      </c>
      <c r="M4" s="31">
        <f>TRUNC(SETUP!$G$3  * SETUP!$H$3, 2)</f>
        <v>0.28999999999999998</v>
      </c>
      <c r="N4" s="31">
        <f>ROUND(SETUP!$G$3 * SETUP!$I$3, 2)</f>
        <v>0.57999999999999996</v>
      </c>
      <c r="O4" s="31">
        <f>SETUP!$G$3 + SUM(Tabela134[[#This Row],[EMOL CP]]:Tabela134[[#This Row],[OUTRAS CP]])</f>
        <v>18.310000000000002</v>
      </c>
      <c r="P4" s="31">
        <f>TRUNC([APLICAÇÃO] * 2  * SETUP!$A$3, 2)</f>
        <v>1.4</v>
      </c>
      <c r="Q4" s="31">
        <f>TRUNC([APLICAÇÃO] * 2  * SETUP!$B$3, 2)</f>
        <v>1.04</v>
      </c>
      <c r="R4" s="31">
        <f>TRUNC([APLICAÇÃO] * 2  * SETUP!$C$3, 2)</f>
        <v>2.64</v>
      </c>
      <c r="S4" s="31">
        <f>TRUNC(SETUP!$G$3  * SETUP!$H$3, 2)</f>
        <v>0.28999999999999998</v>
      </c>
      <c r="T4" s="31">
        <f>ROUND(SETUP!$G$3 * SETUP!$I$3, 2)</f>
        <v>0.57999999999999996</v>
      </c>
      <c r="U4" s="31">
        <f>SETUP!$G$3 + SUM(Tabela134[[#This Row],[EMOL VD]]:Tabela134[[#This Row],[OUTRAS VD]])</f>
        <v>20.85</v>
      </c>
      <c r="V4" s="31">
        <f>((([APLICAÇÃO] * 2) - [TAXA VD]) - ([APLICAÇÃO] + [TAXA CP])) * 0.85</f>
        <v>1581.7140000000002</v>
      </c>
      <c r="W4" s="32">
        <f>[APLICAÇÃO] - (ROUND([RENDA FIXA] * 0.1,2))</f>
        <v>1900</v>
      </c>
      <c r="X4" s="33">
        <f>Tabela134[[#This Row],[PERDA MAX]]/Tabela134[[#This Row],[APLICAÇÃO]]</f>
        <v>1</v>
      </c>
      <c r="Y4" s="34">
        <f>IF([LUCRO] &lt; ([RENDA FIXA]/2), 0.8, 0.8)</f>
        <v>0.8</v>
      </c>
      <c r="Z4" s="31">
        <f>IF([LUCRO] &lt; 0, 0, ROUND([LUCRO]*[NO BOLSO], 2))</f>
        <v>0</v>
      </c>
      <c r="AA4" s="31">
        <f>[LUCRO]-[PROTEÇÃO MÊS]</f>
        <v>0</v>
      </c>
      <c r="AB4" s="31">
        <f>[RENDA FIXA] + [PROTEÇÃO MÊS] - [APORTE RF]</f>
        <v>0</v>
      </c>
      <c r="AC4" s="31">
        <f>[TOT RF] + [REINVESTIR] + [APLICAÇÃO]</f>
        <v>1900</v>
      </c>
    </row>
    <row r="5" spans="1:29">
      <c r="B5" s="47"/>
      <c r="C5" s="3"/>
      <c r="D5" s="3"/>
      <c r="E5" s="3"/>
      <c r="G5" s="6">
        <f>100</f>
        <v>100</v>
      </c>
      <c r="H5" s="6">
        <f>SUMPRODUCT(N([TRADE] &lt;= Tabela134[[#This Row],[TRADE]]), [APORTE]) + SUMPRODUCT(N([TRADE] &lt;= Tabela134[[#This Row],[TRADE]]), [APORTE RF])</f>
        <v>1900</v>
      </c>
      <c r="I5" s="6">
        <f>[MONTANTE] - SUMPRODUCT(N([TRADE] &lt;= Tabela134[[#This Row],[TRADE]]), [SAQUE]) + SUMPRODUCT(N([TRADE] &lt; Tabela134[[#This Row],[TRADE]]), [REINVESTIR])</f>
        <v>1900</v>
      </c>
      <c r="J5" s="6">
        <f>TRUNC([APLICAÇÃO]  * SETUP!$A$3, 2)</f>
        <v>0.7</v>
      </c>
      <c r="K5" s="6">
        <f>TRUNC([APLICAÇÃO]  * SETUP!$B$3, 2)</f>
        <v>0.52</v>
      </c>
      <c r="L5" s="6">
        <f>TRUNC([APLICAÇÃO]  * SETUP!$C$3, 2)</f>
        <v>1.32</v>
      </c>
      <c r="M5" s="6">
        <f>TRUNC(SETUP!$G$3  * SETUP!$H$3, 2)</f>
        <v>0.28999999999999998</v>
      </c>
      <c r="N5" s="6">
        <f>ROUND(SETUP!$G$3 * SETUP!$I$3, 2)</f>
        <v>0.57999999999999996</v>
      </c>
      <c r="O5" s="6">
        <f>SETUP!$G$3 + SUM(Tabela134[[#This Row],[EMOL CP]]:Tabela134[[#This Row],[OUTRAS CP]])</f>
        <v>18.310000000000002</v>
      </c>
      <c r="P5" s="6">
        <f>TRUNC([APLICAÇÃO] * 2  * SETUP!$A$3, 2)</f>
        <v>1.4</v>
      </c>
      <c r="Q5" s="6">
        <f>TRUNC([APLICAÇÃO] * 2  * SETUP!$B$3, 2)</f>
        <v>1.04</v>
      </c>
      <c r="R5" s="6">
        <f>TRUNC([APLICAÇÃO] * 2  * SETUP!$C$3, 2)</f>
        <v>2.64</v>
      </c>
      <c r="S5" s="6">
        <f>TRUNC(SETUP!$G$3  * SETUP!$H$3, 2)</f>
        <v>0.28999999999999998</v>
      </c>
      <c r="T5" s="6">
        <f>ROUND(SETUP!$G$3 * SETUP!$I$3, 2)</f>
        <v>0.57999999999999996</v>
      </c>
      <c r="U5" s="6">
        <f>SETUP!$G$3 + SUM(Tabela134[[#This Row],[EMOL VD]]:Tabela134[[#This Row],[OUTRAS VD]])</f>
        <v>20.85</v>
      </c>
      <c r="V5" s="6">
        <f>((([APLICAÇÃO] * 2) - [TAXA VD]) - ([APLICAÇÃO] + [TAXA CP])) * 0.85</f>
        <v>1581.7140000000002</v>
      </c>
      <c r="W5" s="14">
        <f>[APLICAÇÃO] - (ROUND([RENDA FIXA] * 0.1,2))</f>
        <v>1900</v>
      </c>
      <c r="X5" s="4">
        <f>Tabela134[[#This Row],[PERDA MAX]]/Tabela134[[#This Row],[APLICAÇÃO]]</f>
        <v>1</v>
      </c>
      <c r="Y5" s="15">
        <f>IF([LUCRO] &lt; ([RENDA FIXA]/2), 0.8, 0.8)</f>
        <v>0.8</v>
      </c>
      <c r="Z5" s="6">
        <f>IF([LUCRO] &lt; 0, 0, ROUND([LUCRO]*[NO BOLSO], 2))</f>
        <v>0</v>
      </c>
      <c r="AA5" s="6">
        <f>[LUCRO]-[PROTEÇÃO MÊS]</f>
        <v>0</v>
      </c>
      <c r="AB5" s="6">
        <f>[RENDA FIXA] + [PROTEÇÃO MÊS] - [APORTE RF]</f>
        <v>0</v>
      </c>
      <c r="AC5" s="6">
        <f>[TOT RF] + [REINVESTIR] + [APLICAÇÃO]</f>
        <v>1900</v>
      </c>
    </row>
    <row r="6" spans="1:29">
      <c r="B6" s="47"/>
      <c r="C6" s="3"/>
      <c r="D6" s="3"/>
      <c r="E6" s="3"/>
      <c r="G6" s="6">
        <f>100</f>
        <v>100</v>
      </c>
      <c r="H6" s="6">
        <f>SUMPRODUCT(N([TRADE] &lt;= Tabela134[[#This Row],[TRADE]]), [APORTE]) + SUMPRODUCT(N([TRADE] &lt;= Tabela134[[#This Row],[TRADE]]), [APORTE RF])</f>
        <v>1900</v>
      </c>
      <c r="I6" s="6">
        <f>[MONTANTE] - SUMPRODUCT(N([TRADE] &lt;= Tabela134[[#This Row],[TRADE]]), [SAQUE]) + SUMPRODUCT(N([TRADE] &lt; Tabela134[[#This Row],[TRADE]]), [REINVESTIR])</f>
        <v>1900</v>
      </c>
      <c r="J6" s="6">
        <f>TRUNC([APLICAÇÃO]  * SETUP!$A$3, 2)</f>
        <v>0.7</v>
      </c>
      <c r="K6" s="6">
        <f>TRUNC([APLICAÇÃO]  * SETUP!$B$3, 2)</f>
        <v>0.52</v>
      </c>
      <c r="L6" s="6">
        <f>TRUNC([APLICAÇÃO]  * SETUP!$C$3, 2)</f>
        <v>1.32</v>
      </c>
      <c r="M6" s="6">
        <f>TRUNC(SETUP!$G$3  * SETUP!$H$3, 2)</f>
        <v>0.28999999999999998</v>
      </c>
      <c r="N6" s="6">
        <f>ROUND(SETUP!$G$3 * SETUP!$I$3, 2)</f>
        <v>0.57999999999999996</v>
      </c>
      <c r="O6" s="6">
        <f>SETUP!$G$3 + SUM(Tabela134[[#This Row],[EMOL CP]]:Tabela134[[#This Row],[OUTRAS CP]])</f>
        <v>18.310000000000002</v>
      </c>
      <c r="P6" s="6">
        <f>TRUNC([APLICAÇÃO] * 2  * SETUP!$A$3, 2)</f>
        <v>1.4</v>
      </c>
      <c r="Q6" s="6">
        <f>TRUNC([APLICAÇÃO] * 2  * SETUP!$B$3, 2)</f>
        <v>1.04</v>
      </c>
      <c r="R6" s="6">
        <f>TRUNC([APLICAÇÃO] * 2  * SETUP!$C$3, 2)</f>
        <v>2.64</v>
      </c>
      <c r="S6" s="6">
        <f>TRUNC(SETUP!$G$3  * SETUP!$H$3, 2)</f>
        <v>0.28999999999999998</v>
      </c>
      <c r="T6" s="6">
        <f>ROUND(SETUP!$G$3 * SETUP!$I$3, 2)</f>
        <v>0.57999999999999996</v>
      </c>
      <c r="U6" s="6">
        <f>SETUP!$G$3 + SUM(Tabela134[[#This Row],[EMOL VD]]:Tabela134[[#This Row],[OUTRAS VD]])</f>
        <v>20.85</v>
      </c>
      <c r="V6" s="6">
        <f>((([APLICAÇÃO] * 2) - [TAXA VD]) - ([APLICAÇÃO] + [TAXA CP])) * 0.85</f>
        <v>1581.7140000000002</v>
      </c>
      <c r="W6" s="14">
        <f>[APLICAÇÃO] - (ROUND([RENDA FIXA] * 0.1,2))</f>
        <v>1900</v>
      </c>
      <c r="X6" s="4">
        <f>Tabela134[[#This Row],[PERDA MAX]]/Tabela134[[#This Row],[APLICAÇÃO]]</f>
        <v>1</v>
      </c>
      <c r="Y6" s="15">
        <f>IF([LUCRO] &lt; ([RENDA FIXA]/2), 0.8, 0.8)</f>
        <v>0.8</v>
      </c>
      <c r="Z6" s="6">
        <f>IF([LUCRO] &lt; 0, 0, ROUND([LUCRO]*[NO BOLSO], 2))</f>
        <v>0</v>
      </c>
      <c r="AA6" s="6">
        <f>[LUCRO]-[PROTEÇÃO MÊS]</f>
        <v>0</v>
      </c>
      <c r="AB6" s="6">
        <f>[RENDA FIXA] + [PROTEÇÃO MÊS] - [APORTE RF]</f>
        <v>0</v>
      </c>
      <c r="AC6" s="6">
        <f>[TOT RF] + [REINVESTIR] + [APLICAÇÃO]</f>
        <v>1900</v>
      </c>
    </row>
    <row r="7" spans="1:29">
      <c r="B7" s="47"/>
      <c r="C7" s="3"/>
      <c r="D7" s="3"/>
      <c r="E7" s="3"/>
      <c r="G7" s="6">
        <f>100</f>
        <v>100</v>
      </c>
      <c r="H7" s="6">
        <f>SUMPRODUCT(N([TRADE] &lt;= Tabela134[[#This Row],[TRADE]]), [APORTE]) + SUMPRODUCT(N([TRADE] &lt;= Tabela134[[#This Row],[TRADE]]), [APORTE RF])</f>
        <v>1900</v>
      </c>
      <c r="I7" s="6">
        <f>[MONTANTE] - SUMPRODUCT(N([TRADE] &lt;= Tabela134[[#This Row],[TRADE]]), [SAQUE]) + SUMPRODUCT(N([TRADE] &lt; Tabela134[[#This Row],[TRADE]]), [REINVESTIR])</f>
        <v>1900</v>
      </c>
      <c r="J7" s="6">
        <f>TRUNC([APLICAÇÃO]  * SETUP!$A$3, 2)</f>
        <v>0.7</v>
      </c>
      <c r="K7" s="6">
        <f>TRUNC([APLICAÇÃO]  * SETUP!$B$3, 2)</f>
        <v>0.52</v>
      </c>
      <c r="L7" s="6">
        <f>TRUNC([APLICAÇÃO]  * SETUP!$C$3, 2)</f>
        <v>1.32</v>
      </c>
      <c r="M7" s="6">
        <f>TRUNC(SETUP!$G$3  * SETUP!$H$3, 2)</f>
        <v>0.28999999999999998</v>
      </c>
      <c r="N7" s="6">
        <f>ROUND(SETUP!$G$3 * SETUP!$I$3, 2)</f>
        <v>0.57999999999999996</v>
      </c>
      <c r="O7" s="6">
        <f>SETUP!$G$3 + SUM(Tabela134[[#This Row],[EMOL CP]]:Tabela134[[#This Row],[OUTRAS CP]])</f>
        <v>18.310000000000002</v>
      </c>
      <c r="P7" s="6">
        <f>TRUNC([APLICAÇÃO] * 2  * SETUP!$A$3, 2)</f>
        <v>1.4</v>
      </c>
      <c r="Q7" s="6">
        <f>TRUNC([APLICAÇÃO] * 2  * SETUP!$B$3, 2)</f>
        <v>1.04</v>
      </c>
      <c r="R7" s="6">
        <f>TRUNC([APLICAÇÃO] * 2  * SETUP!$C$3, 2)</f>
        <v>2.64</v>
      </c>
      <c r="S7" s="6">
        <f>TRUNC(SETUP!$G$3  * SETUP!$H$3, 2)</f>
        <v>0.28999999999999998</v>
      </c>
      <c r="T7" s="6">
        <f>ROUND(SETUP!$G$3 * SETUP!$I$3, 2)</f>
        <v>0.57999999999999996</v>
      </c>
      <c r="U7" s="6">
        <f>SETUP!$G$3 + SUM(Tabela134[[#This Row],[EMOL VD]]:Tabela134[[#This Row],[OUTRAS VD]])</f>
        <v>20.85</v>
      </c>
      <c r="V7" s="6">
        <f>((([APLICAÇÃO] * 2) - [TAXA VD]) - ([APLICAÇÃO] + [TAXA CP])) * 0.85</f>
        <v>1581.7140000000002</v>
      </c>
      <c r="W7" s="14">
        <f>[APLICAÇÃO] - (ROUND([RENDA FIXA] * 0.1,2))</f>
        <v>1900</v>
      </c>
      <c r="X7" s="4">
        <f>Tabela134[[#This Row],[PERDA MAX]]/Tabela134[[#This Row],[APLICAÇÃO]]</f>
        <v>1</v>
      </c>
      <c r="Y7" s="15">
        <f>IF([LUCRO] &lt; ([RENDA FIXA]/2), 0.8, 0.8)</f>
        <v>0.8</v>
      </c>
      <c r="Z7" s="6">
        <f>IF([LUCRO] &lt; 0, 0, ROUND([LUCRO]*[NO BOLSO], 2))</f>
        <v>0</v>
      </c>
      <c r="AA7" s="6">
        <f>[LUCRO]-[PROTEÇÃO MÊS]</f>
        <v>0</v>
      </c>
      <c r="AB7" s="6">
        <f>[RENDA FIXA] + [PROTEÇÃO MÊS] - [APORTE RF]</f>
        <v>0</v>
      </c>
      <c r="AC7" s="6">
        <f>[TOT RF] + [REINVESTIR] + [APLICAÇÃO]</f>
        <v>1900</v>
      </c>
    </row>
    <row r="8" spans="1:29">
      <c r="B8" s="47"/>
      <c r="C8" s="3"/>
      <c r="D8" s="3"/>
      <c r="E8" s="3"/>
      <c r="G8" s="6">
        <f>100</f>
        <v>100</v>
      </c>
      <c r="H8" s="6">
        <f>SUMPRODUCT(N([TRADE] &lt;= Tabela134[[#This Row],[TRADE]]), [APORTE]) + SUMPRODUCT(N([TRADE] &lt;= Tabela134[[#This Row],[TRADE]]), [APORTE RF])</f>
        <v>1900</v>
      </c>
      <c r="I8" s="6">
        <f>[MONTANTE] - SUMPRODUCT(N([TRADE] &lt;= Tabela134[[#This Row],[TRADE]]), [SAQUE]) + SUMPRODUCT(N([TRADE] &lt; Tabela134[[#This Row],[TRADE]]), [REINVESTIR])</f>
        <v>1900</v>
      </c>
      <c r="J8" s="6">
        <f>TRUNC([APLICAÇÃO]  * SETUP!$A$3, 2)</f>
        <v>0.7</v>
      </c>
      <c r="K8" s="6">
        <f>TRUNC([APLICAÇÃO]  * SETUP!$B$3, 2)</f>
        <v>0.52</v>
      </c>
      <c r="L8" s="6">
        <f>TRUNC([APLICAÇÃO]  * SETUP!$C$3, 2)</f>
        <v>1.32</v>
      </c>
      <c r="M8" s="6">
        <f>TRUNC(SETUP!$G$3  * SETUP!$H$3, 2)</f>
        <v>0.28999999999999998</v>
      </c>
      <c r="N8" s="6">
        <f>ROUND(SETUP!$G$3 * SETUP!$I$3, 2)</f>
        <v>0.57999999999999996</v>
      </c>
      <c r="O8" s="6">
        <f>SETUP!$G$3 + SUM(Tabela134[[#This Row],[EMOL CP]]:Tabela134[[#This Row],[OUTRAS CP]])</f>
        <v>18.310000000000002</v>
      </c>
      <c r="P8" s="6">
        <f>TRUNC([APLICAÇÃO] * 2  * SETUP!$A$3, 2)</f>
        <v>1.4</v>
      </c>
      <c r="Q8" s="6">
        <f>TRUNC([APLICAÇÃO] * 2  * SETUP!$B$3, 2)</f>
        <v>1.04</v>
      </c>
      <c r="R8" s="6">
        <f>TRUNC([APLICAÇÃO] * 2  * SETUP!$C$3, 2)</f>
        <v>2.64</v>
      </c>
      <c r="S8" s="6">
        <f>TRUNC(SETUP!$G$3  * SETUP!$H$3, 2)</f>
        <v>0.28999999999999998</v>
      </c>
      <c r="T8" s="6">
        <f>ROUND(SETUP!$G$3 * SETUP!$I$3, 2)</f>
        <v>0.57999999999999996</v>
      </c>
      <c r="U8" s="6">
        <f>SETUP!$G$3 + SUM(Tabela134[[#This Row],[EMOL VD]]:Tabela134[[#This Row],[OUTRAS VD]])</f>
        <v>20.85</v>
      </c>
      <c r="V8" s="6">
        <f>((([APLICAÇÃO] * 2) - [TAXA VD]) - ([APLICAÇÃO] + [TAXA CP])) * 0.85</f>
        <v>1581.7140000000002</v>
      </c>
      <c r="W8" s="14">
        <f>[APLICAÇÃO] - (ROUND([RENDA FIXA] * 0.1,2))</f>
        <v>1900</v>
      </c>
      <c r="X8" s="4">
        <f>Tabela134[[#This Row],[PERDA MAX]]/Tabela134[[#This Row],[APLICAÇÃO]]</f>
        <v>1</v>
      </c>
      <c r="Y8" s="15">
        <f>IF([LUCRO] &lt; ([RENDA FIXA]/2), 0.8, 0.8)</f>
        <v>0.8</v>
      </c>
      <c r="Z8" s="6">
        <f>IF([LUCRO] &lt; 0, 0, ROUND([LUCRO]*[NO BOLSO], 2))</f>
        <v>0</v>
      </c>
      <c r="AA8" s="6">
        <f>[LUCRO]-[PROTEÇÃO MÊS]</f>
        <v>0</v>
      </c>
      <c r="AB8" s="6">
        <f>[RENDA FIXA] + [PROTEÇÃO MÊS] - [APORTE RF]</f>
        <v>0</v>
      </c>
      <c r="AC8" s="6">
        <f>[TOT RF] + [REINVESTIR] + [APLICAÇÃO]</f>
        <v>1900</v>
      </c>
    </row>
    <row r="9" spans="1:29">
      <c r="A9" s="46"/>
      <c r="B9" s="48"/>
      <c r="C9" s="21"/>
      <c r="D9" s="21"/>
      <c r="E9" s="21"/>
      <c r="F9" s="21"/>
      <c r="G9" s="22">
        <f>100</f>
        <v>100</v>
      </c>
      <c r="H9" s="22">
        <f>SUMPRODUCT(N([TRADE] &lt;= Tabela134[[#This Row],[TRADE]]), [APORTE]) + SUMPRODUCT(N([TRADE] &lt;= Tabela134[[#This Row],[TRADE]]), [APORTE RF])</f>
        <v>1900</v>
      </c>
      <c r="I9" s="22">
        <f>[MONTANTE] - SUMPRODUCT(N([TRADE] &lt;= Tabela134[[#This Row],[TRADE]]), [SAQUE]) + SUMPRODUCT(N([TRADE] &lt; Tabela134[[#This Row],[TRADE]]), [REINVESTIR])</f>
        <v>1900</v>
      </c>
      <c r="J9" s="22">
        <f>TRUNC([APLICAÇÃO]  * SETUP!$A$3, 2)</f>
        <v>0.7</v>
      </c>
      <c r="K9" s="22">
        <f>TRUNC([APLICAÇÃO]  * SETUP!$B$3, 2)</f>
        <v>0.52</v>
      </c>
      <c r="L9" s="22">
        <f>TRUNC([APLICAÇÃO]  * SETUP!$C$3, 2)</f>
        <v>1.32</v>
      </c>
      <c r="M9" s="22">
        <f>TRUNC(SETUP!$G$3  * SETUP!$H$3, 2)</f>
        <v>0.28999999999999998</v>
      </c>
      <c r="N9" s="22">
        <f>ROUND(SETUP!$G$3 * SETUP!$I$3, 2)</f>
        <v>0.57999999999999996</v>
      </c>
      <c r="O9" s="22">
        <f>SETUP!$G$3 + SUM(Tabela134[[#This Row],[EMOL CP]]:Tabela134[[#This Row],[OUTRAS CP]])</f>
        <v>18.310000000000002</v>
      </c>
      <c r="P9" s="22">
        <f>TRUNC([APLICAÇÃO] * 2  * SETUP!$A$3, 2)</f>
        <v>1.4</v>
      </c>
      <c r="Q9" s="22">
        <f>TRUNC([APLICAÇÃO] * 2  * SETUP!$B$3, 2)</f>
        <v>1.04</v>
      </c>
      <c r="R9" s="22">
        <f>TRUNC([APLICAÇÃO] * 2  * SETUP!$C$3, 2)</f>
        <v>2.64</v>
      </c>
      <c r="S9" s="22">
        <f>TRUNC(SETUP!$G$3  * SETUP!$H$3, 2)</f>
        <v>0.28999999999999998</v>
      </c>
      <c r="T9" s="22">
        <f>ROUND(SETUP!$G$3 * SETUP!$I$3, 2)</f>
        <v>0.57999999999999996</v>
      </c>
      <c r="U9" s="22">
        <f>SETUP!$G$3 + SUM(Tabela134[[#This Row],[EMOL VD]]:Tabela134[[#This Row],[OUTRAS VD]])</f>
        <v>20.85</v>
      </c>
      <c r="V9" s="22">
        <f>((([APLICAÇÃO] * 2) - [TAXA VD]) - ([APLICAÇÃO] + [TAXA CP])) * 0.85</f>
        <v>1581.7140000000002</v>
      </c>
      <c r="W9" s="23">
        <f>[APLICAÇÃO] - (ROUND([RENDA FIXA] * 0.1,2))</f>
        <v>1900</v>
      </c>
      <c r="X9" s="24">
        <f>Tabela134[[#This Row],[PERDA MAX]]/Tabela134[[#This Row],[APLICAÇÃO]]</f>
        <v>1</v>
      </c>
      <c r="Y9" s="25">
        <f>IF([LUCRO] &lt; ([RENDA FIXA]/2), 0.8, 0.8)</f>
        <v>0.8</v>
      </c>
      <c r="Z9" s="22">
        <f>IF([LUCRO] &lt; 0, 0, ROUND([LUCRO]*[NO BOLSO], 2))</f>
        <v>0</v>
      </c>
      <c r="AA9" s="22">
        <f>[LUCRO]-[PROTEÇÃO MÊS]</f>
        <v>0</v>
      </c>
      <c r="AB9" s="22">
        <f>[RENDA FIXA] + [PROTEÇÃO MÊS] - [APORTE RF]</f>
        <v>0</v>
      </c>
      <c r="AC9" s="22">
        <f>[TOT RF] + [REINVESTIR] + [APLICAÇÃO]</f>
        <v>1900</v>
      </c>
    </row>
    <row r="10" spans="1:29">
      <c r="A10" s="46"/>
      <c r="B10" s="48"/>
      <c r="C10" s="21"/>
      <c r="D10" s="21"/>
      <c r="E10" s="21"/>
      <c r="F10" s="21"/>
      <c r="G10" s="22">
        <f>100</f>
        <v>100</v>
      </c>
      <c r="H10" s="22">
        <f>SUMPRODUCT(N([TRADE] &lt;= Tabela134[[#This Row],[TRADE]]), [APORTE]) + SUMPRODUCT(N([TRADE] &lt;= Tabela134[[#This Row],[TRADE]]), [APORTE RF])</f>
        <v>1900</v>
      </c>
      <c r="I10" s="22">
        <f>[MONTANTE] - SUMPRODUCT(N([TRADE] &lt;= Tabela134[[#This Row],[TRADE]]), [SAQUE]) + SUMPRODUCT(N([TRADE] &lt; Tabela134[[#This Row],[TRADE]]), [REINVESTIR])</f>
        <v>1900</v>
      </c>
      <c r="J10" s="22">
        <f>TRUNC([APLICAÇÃO]  * SETUP!$A$3, 2)</f>
        <v>0.7</v>
      </c>
      <c r="K10" s="22">
        <f>TRUNC([APLICAÇÃO]  * SETUP!$B$3, 2)</f>
        <v>0.52</v>
      </c>
      <c r="L10" s="22">
        <f>TRUNC([APLICAÇÃO]  * SETUP!$C$3, 2)</f>
        <v>1.32</v>
      </c>
      <c r="M10" s="22">
        <f>TRUNC(SETUP!$G$3  * SETUP!$H$3, 2)</f>
        <v>0.28999999999999998</v>
      </c>
      <c r="N10" s="22">
        <f>ROUND(SETUP!$G$3 * SETUP!$I$3, 2)</f>
        <v>0.57999999999999996</v>
      </c>
      <c r="O10" s="22">
        <f>SETUP!$G$3 + SUM(Tabela134[[#This Row],[EMOL CP]]:Tabela134[[#This Row],[OUTRAS CP]])</f>
        <v>18.310000000000002</v>
      </c>
      <c r="P10" s="22">
        <f>TRUNC([APLICAÇÃO] * 2  * SETUP!$A$3, 2)</f>
        <v>1.4</v>
      </c>
      <c r="Q10" s="22">
        <f>TRUNC([APLICAÇÃO] * 2  * SETUP!$B$3, 2)</f>
        <v>1.04</v>
      </c>
      <c r="R10" s="22">
        <f>TRUNC([APLICAÇÃO] * 2  * SETUP!$C$3, 2)</f>
        <v>2.64</v>
      </c>
      <c r="S10" s="22">
        <f>TRUNC(SETUP!$G$3  * SETUP!$H$3, 2)</f>
        <v>0.28999999999999998</v>
      </c>
      <c r="T10" s="22">
        <f>ROUND(SETUP!$G$3 * SETUP!$I$3, 2)</f>
        <v>0.57999999999999996</v>
      </c>
      <c r="U10" s="22">
        <f>SETUP!$G$3 + SUM(Tabela134[[#This Row],[EMOL VD]]:Tabela134[[#This Row],[OUTRAS VD]])</f>
        <v>20.85</v>
      </c>
      <c r="V10" s="22">
        <f>((([APLICAÇÃO] * 2) - [TAXA VD]) - ([APLICAÇÃO] + [TAXA CP])) * 0.85</f>
        <v>1581.7140000000002</v>
      </c>
      <c r="W10" s="23">
        <f>[APLICAÇÃO] - (ROUND([RENDA FIXA] * 0.1,2))</f>
        <v>1900</v>
      </c>
      <c r="X10" s="24">
        <f>Tabela134[[#This Row],[PERDA MAX]]/Tabela134[[#This Row],[APLICAÇÃO]]</f>
        <v>1</v>
      </c>
      <c r="Y10" s="25">
        <f>IF([LUCRO] &lt; ([RENDA FIXA]/2), 0.8, 0.8)</f>
        <v>0.8</v>
      </c>
      <c r="Z10" s="22">
        <f>IF([LUCRO] &lt; 0, 0, ROUND([LUCRO]*[NO BOLSO], 2))</f>
        <v>0</v>
      </c>
      <c r="AA10" s="22">
        <f>[LUCRO]-[PROTEÇÃO MÊS]</f>
        <v>0</v>
      </c>
      <c r="AB10" s="22">
        <f>[RENDA FIXA] + [PROTEÇÃO MÊS] - [APORTE RF]</f>
        <v>0</v>
      </c>
      <c r="AC10" s="22">
        <f>[TOT RF] + [REINVESTIR] + [APLICAÇÃO]</f>
        <v>1900</v>
      </c>
    </row>
    <row r="11" spans="1:29">
      <c r="B11" s="47"/>
      <c r="C11" s="3"/>
      <c r="D11" s="3"/>
      <c r="E11" s="3"/>
      <c r="G11" s="6">
        <f>100</f>
        <v>100</v>
      </c>
      <c r="H11" s="6">
        <f>SUMPRODUCT(N([TRADE] &lt;= Tabela134[[#This Row],[TRADE]]), [APORTE]) + SUMPRODUCT(N([TRADE] &lt;= Tabela134[[#This Row],[TRADE]]), [APORTE RF])</f>
        <v>1900</v>
      </c>
      <c r="I11" s="6">
        <f>[MONTANTE] - SUMPRODUCT(N([TRADE] &lt;= Tabela134[[#This Row],[TRADE]]), [SAQUE]) + SUMPRODUCT(N([TRADE] &lt; Tabela134[[#This Row],[TRADE]]), [REINVESTIR])</f>
        <v>1900</v>
      </c>
      <c r="J11" s="6">
        <f>TRUNC([APLICAÇÃO]  * SETUP!$A$3, 2)</f>
        <v>0.7</v>
      </c>
      <c r="K11" s="6">
        <f>TRUNC([APLICAÇÃO]  * SETUP!$B$3, 2)</f>
        <v>0.52</v>
      </c>
      <c r="L11" s="6">
        <f>TRUNC([APLICAÇÃO]  * SETUP!$C$3, 2)</f>
        <v>1.32</v>
      </c>
      <c r="M11" s="6">
        <f>TRUNC(SETUP!$G$3  * SETUP!$H$3, 2)</f>
        <v>0.28999999999999998</v>
      </c>
      <c r="N11" s="6">
        <f>ROUND(SETUP!$G$3 * SETUP!$I$3, 2)</f>
        <v>0.57999999999999996</v>
      </c>
      <c r="O11" s="6">
        <f>SETUP!$G$3 + SUM(Tabela134[[#This Row],[EMOL CP]]:Tabela134[[#This Row],[OUTRAS CP]])</f>
        <v>18.310000000000002</v>
      </c>
      <c r="P11" s="6">
        <f>TRUNC([APLICAÇÃO] * 2  * SETUP!$A$3, 2)</f>
        <v>1.4</v>
      </c>
      <c r="Q11" s="6">
        <f>TRUNC([APLICAÇÃO] * 2  * SETUP!$B$3, 2)</f>
        <v>1.04</v>
      </c>
      <c r="R11" s="6">
        <f>TRUNC([APLICAÇÃO] * 2  * SETUP!$C$3, 2)</f>
        <v>2.64</v>
      </c>
      <c r="S11" s="6">
        <f>TRUNC(SETUP!$G$3  * SETUP!$H$3, 2)</f>
        <v>0.28999999999999998</v>
      </c>
      <c r="T11" s="6">
        <f>ROUND(SETUP!$G$3 * SETUP!$I$3, 2)</f>
        <v>0.57999999999999996</v>
      </c>
      <c r="U11" s="6">
        <f>SETUP!$G$3 + SUM(Tabela134[[#This Row],[EMOL VD]]:Tabela134[[#This Row],[OUTRAS VD]])</f>
        <v>20.85</v>
      </c>
      <c r="V11" s="6">
        <f>((([APLICAÇÃO] * 2) - [TAXA VD]) - ([APLICAÇÃO] + [TAXA CP])) * 0.85</f>
        <v>1581.7140000000002</v>
      </c>
      <c r="W11" s="14">
        <f>[APLICAÇÃO] - (ROUND([RENDA FIXA] * 0.1,2))</f>
        <v>1900</v>
      </c>
      <c r="X11" s="4">
        <f>Tabela134[[#This Row],[PERDA MAX]]/Tabela134[[#This Row],[APLICAÇÃO]]</f>
        <v>1</v>
      </c>
      <c r="Y11" s="15">
        <f>IF([LUCRO] &lt; ([RENDA FIXA]/2), 0.8, 0.8)</f>
        <v>0.8</v>
      </c>
      <c r="Z11" s="6">
        <f>IF([LUCRO] &lt; 0, 0, ROUND([LUCRO]*[NO BOLSO], 2))</f>
        <v>0</v>
      </c>
      <c r="AA11" s="6">
        <f>[LUCRO]-[PROTEÇÃO MÊS]</f>
        <v>0</v>
      </c>
      <c r="AB11" s="6">
        <f>[RENDA FIXA] + [PROTEÇÃO MÊS] - [APORTE RF]</f>
        <v>0</v>
      </c>
      <c r="AC11" s="6">
        <f>[TOT RF] + [REINVESTIR] + [APLICAÇÃO]</f>
        <v>1900</v>
      </c>
    </row>
    <row r="12" spans="1:29">
      <c r="B12" s="47"/>
      <c r="C12" s="3"/>
      <c r="D12" s="3"/>
      <c r="E12" s="3"/>
      <c r="G12" s="6">
        <f>100</f>
        <v>100</v>
      </c>
      <c r="H12" s="6">
        <f>SUMPRODUCT(N([TRADE] &lt;= Tabela134[[#This Row],[TRADE]]), [APORTE]) + SUMPRODUCT(N([TRADE] &lt;= Tabela134[[#This Row],[TRADE]]), [APORTE RF])</f>
        <v>1900</v>
      </c>
      <c r="I12" s="6">
        <f>[MONTANTE] - SUMPRODUCT(N([TRADE] &lt;= Tabela134[[#This Row],[TRADE]]), [SAQUE]) + SUMPRODUCT(N([TRADE] &lt; Tabela134[[#This Row],[TRADE]]), [REINVESTIR])</f>
        <v>1900</v>
      </c>
      <c r="J12" s="6">
        <f>TRUNC([APLICAÇÃO]  * SETUP!$A$3, 2)</f>
        <v>0.7</v>
      </c>
      <c r="K12" s="6">
        <f>TRUNC([APLICAÇÃO]  * SETUP!$B$3, 2)</f>
        <v>0.52</v>
      </c>
      <c r="L12" s="6">
        <f>TRUNC([APLICAÇÃO]  * SETUP!$C$3, 2)</f>
        <v>1.32</v>
      </c>
      <c r="M12" s="6">
        <f>TRUNC(SETUP!$G$3  * SETUP!$H$3, 2)</f>
        <v>0.28999999999999998</v>
      </c>
      <c r="N12" s="6">
        <f>ROUND(SETUP!$G$3 * SETUP!$I$3, 2)</f>
        <v>0.57999999999999996</v>
      </c>
      <c r="O12" s="6">
        <f>SETUP!$G$3 + SUM(Tabela134[[#This Row],[EMOL CP]]:Tabela134[[#This Row],[OUTRAS CP]])</f>
        <v>18.310000000000002</v>
      </c>
      <c r="P12" s="6">
        <f>TRUNC([APLICAÇÃO] * 2  * SETUP!$A$3, 2)</f>
        <v>1.4</v>
      </c>
      <c r="Q12" s="6">
        <f>TRUNC([APLICAÇÃO] * 2  * SETUP!$B$3, 2)</f>
        <v>1.04</v>
      </c>
      <c r="R12" s="6">
        <f>TRUNC([APLICAÇÃO] * 2  * SETUP!$C$3, 2)</f>
        <v>2.64</v>
      </c>
      <c r="S12" s="6">
        <f>TRUNC(SETUP!$G$3  * SETUP!$H$3, 2)</f>
        <v>0.28999999999999998</v>
      </c>
      <c r="T12" s="6">
        <f>ROUND(SETUP!$G$3 * SETUP!$I$3, 2)</f>
        <v>0.57999999999999996</v>
      </c>
      <c r="U12" s="6">
        <f>SETUP!$G$3 + SUM(Tabela134[[#This Row],[EMOL VD]]:Tabela134[[#This Row],[OUTRAS VD]])</f>
        <v>20.85</v>
      </c>
      <c r="V12" s="6">
        <f>((([APLICAÇÃO] * 2) - [TAXA VD]) - ([APLICAÇÃO] + [TAXA CP])) * 0.85</f>
        <v>1581.7140000000002</v>
      </c>
      <c r="W12" s="14">
        <f>[APLICAÇÃO] - (ROUND([RENDA FIXA] * 0.1,2))</f>
        <v>1900</v>
      </c>
      <c r="X12" s="4">
        <f>Tabela134[[#This Row],[PERDA MAX]]/Tabela134[[#This Row],[APLICAÇÃO]]</f>
        <v>1</v>
      </c>
      <c r="Y12" s="15">
        <f>IF([LUCRO] &lt; ([RENDA FIXA]/2), 0.8, 0.8)</f>
        <v>0.8</v>
      </c>
      <c r="Z12" s="6">
        <f>IF([LUCRO] &lt; 0, 0, ROUND([LUCRO]*[NO BOLSO], 2))</f>
        <v>0</v>
      </c>
      <c r="AA12" s="6">
        <f>[LUCRO]-[PROTEÇÃO MÊS]</f>
        <v>0</v>
      </c>
      <c r="AB12" s="6">
        <f>[RENDA FIXA] + [PROTEÇÃO MÊS] - [APORTE RF]</f>
        <v>0</v>
      </c>
      <c r="AC12" s="6">
        <f>[TOT RF] + [REINVESTIR] + [APLICAÇÃO]</f>
        <v>1900</v>
      </c>
    </row>
    <row r="13" spans="1:29">
      <c r="B13" s="47"/>
      <c r="C13" s="3"/>
      <c r="D13" s="3"/>
      <c r="E13" s="3"/>
      <c r="G13" s="6">
        <f>100</f>
        <v>100</v>
      </c>
      <c r="H13" s="6">
        <f>SUMPRODUCT(N([TRADE] &lt;= Tabela134[[#This Row],[TRADE]]), [APORTE]) + SUMPRODUCT(N([TRADE] &lt;= Tabela134[[#This Row],[TRADE]]), [APORTE RF])</f>
        <v>1900</v>
      </c>
      <c r="I13" s="6">
        <f>[MONTANTE] - SUMPRODUCT(N([TRADE] &lt;= Tabela134[[#This Row],[TRADE]]), [SAQUE]) + SUMPRODUCT(N([TRADE] &lt; Tabela134[[#This Row],[TRADE]]), [REINVESTIR])</f>
        <v>1900</v>
      </c>
      <c r="J13" s="6">
        <f>TRUNC([APLICAÇÃO]  * SETUP!$A$3, 2)</f>
        <v>0.7</v>
      </c>
      <c r="K13" s="6">
        <f>TRUNC([APLICAÇÃO]  * SETUP!$B$3, 2)</f>
        <v>0.52</v>
      </c>
      <c r="L13" s="6">
        <f>TRUNC([APLICAÇÃO]  * SETUP!$C$3, 2)</f>
        <v>1.32</v>
      </c>
      <c r="M13" s="6">
        <f>TRUNC(SETUP!$G$3  * SETUP!$H$3, 2)</f>
        <v>0.28999999999999998</v>
      </c>
      <c r="N13" s="6">
        <f>ROUND(SETUP!$G$3 * SETUP!$I$3, 2)</f>
        <v>0.57999999999999996</v>
      </c>
      <c r="O13" s="6">
        <f>SETUP!$G$3 + SUM(Tabela134[[#This Row],[EMOL CP]]:Tabela134[[#This Row],[OUTRAS CP]])</f>
        <v>18.310000000000002</v>
      </c>
      <c r="P13" s="6">
        <f>TRUNC([APLICAÇÃO] * 2  * SETUP!$A$3, 2)</f>
        <v>1.4</v>
      </c>
      <c r="Q13" s="6">
        <f>TRUNC([APLICAÇÃO] * 2  * SETUP!$B$3, 2)</f>
        <v>1.04</v>
      </c>
      <c r="R13" s="6">
        <f>TRUNC([APLICAÇÃO] * 2  * SETUP!$C$3, 2)</f>
        <v>2.64</v>
      </c>
      <c r="S13" s="6">
        <f>TRUNC(SETUP!$G$3  * SETUP!$H$3, 2)</f>
        <v>0.28999999999999998</v>
      </c>
      <c r="T13" s="6">
        <f>ROUND(SETUP!$G$3 * SETUP!$I$3, 2)</f>
        <v>0.57999999999999996</v>
      </c>
      <c r="U13" s="6">
        <f>SETUP!$G$3 + SUM(Tabela134[[#This Row],[EMOL VD]]:Tabela134[[#This Row],[OUTRAS VD]])</f>
        <v>20.85</v>
      </c>
      <c r="V13" s="6">
        <f>((([APLICAÇÃO] * 2) - [TAXA VD]) - ([APLICAÇÃO] + [TAXA CP])) * 0.85</f>
        <v>1581.7140000000002</v>
      </c>
      <c r="W13" s="14">
        <f>[APLICAÇÃO] - (ROUND([RENDA FIXA] * 0.1,2))</f>
        <v>1900</v>
      </c>
      <c r="X13" s="4">
        <f>Tabela134[[#This Row],[PERDA MAX]]/Tabela134[[#This Row],[APLICAÇÃO]]</f>
        <v>1</v>
      </c>
      <c r="Y13" s="15">
        <f>IF([LUCRO] &lt; ([RENDA FIXA]/2), 0.8, 0.8)</f>
        <v>0.8</v>
      </c>
      <c r="Z13" s="6">
        <f>IF([LUCRO] &lt; 0, 0, ROUND([LUCRO]*[NO BOLSO], 2))</f>
        <v>0</v>
      </c>
      <c r="AA13" s="6">
        <f>[LUCRO]-[PROTEÇÃO MÊS]</f>
        <v>0</v>
      </c>
      <c r="AB13" s="6">
        <f>[RENDA FIXA] + [PROTEÇÃO MÊS] - [APORTE RF]</f>
        <v>0</v>
      </c>
      <c r="AC13" s="6">
        <f>[TOT RF] + [REINVESTIR] + [APLICAÇÃO]</f>
        <v>1900</v>
      </c>
    </row>
    <row r="14" spans="1:29">
      <c r="B14" s="47"/>
      <c r="C14" s="3"/>
      <c r="D14" s="3"/>
      <c r="E14" s="3"/>
      <c r="G14" s="6">
        <f>100</f>
        <v>100</v>
      </c>
      <c r="H14" s="6">
        <f>SUMPRODUCT(N([TRADE] &lt;= Tabela134[[#This Row],[TRADE]]), [APORTE]) + SUMPRODUCT(N([TRADE] &lt;= Tabela134[[#This Row],[TRADE]]), [APORTE RF])</f>
        <v>1900</v>
      </c>
      <c r="I14" s="6">
        <f>[MONTANTE] - SUMPRODUCT(N([TRADE] &lt;= Tabela134[[#This Row],[TRADE]]), [SAQUE]) + SUMPRODUCT(N([TRADE] &lt; Tabela134[[#This Row],[TRADE]]), [REINVESTIR])</f>
        <v>1900</v>
      </c>
      <c r="J14" s="6">
        <f>TRUNC([APLICAÇÃO]  * SETUP!$A$3, 2)</f>
        <v>0.7</v>
      </c>
      <c r="K14" s="6">
        <f>TRUNC([APLICAÇÃO]  * SETUP!$B$3, 2)</f>
        <v>0.52</v>
      </c>
      <c r="L14" s="6">
        <f>TRUNC([APLICAÇÃO]  * SETUP!$C$3, 2)</f>
        <v>1.32</v>
      </c>
      <c r="M14" s="6">
        <f>TRUNC(SETUP!$G$3  * SETUP!$H$3, 2)</f>
        <v>0.28999999999999998</v>
      </c>
      <c r="N14" s="6">
        <f>ROUND(SETUP!$G$3 * SETUP!$I$3, 2)</f>
        <v>0.57999999999999996</v>
      </c>
      <c r="O14" s="6">
        <f>SETUP!$G$3 + SUM(Tabela134[[#This Row],[EMOL CP]]:Tabela134[[#This Row],[OUTRAS CP]])</f>
        <v>18.310000000000002</v>
      </c>
      <c r="P14" s="6">
        <f>TRUNC([APLICAÇÃO] * 2  * SETUP!$A$3, 2)</f>
        <v>1.4</v>
      </c>
      <c r="Q14" s="6">
        <f>TRUNC([APLICAÇÃO] * 2  * SETUP!$B$3, 2)</f>
        <v>1.04</v>
      </c>
      <c r="R14" s="6">
        <f>TRUNC([APLICAÇÃO] * 2  * SETUP!$C$3, 2)</f>
        <v>2.64</v>
      </c>
      <c r="S14" s="6">
        <f>TRUNC(SETUP!$G$3  * SETUP!$H$3, 2)</f>
        <v>0.28999999999999998</v>
      </c>
      <c r="T14" s="6">
        <f>ROUND(SETUP!$G$3 * SETUP!$I$3, 2)</f>
        <v>0.57999999999999996</v>
      </c>
      <c r="U14" s="6">
        <f>SETUP!$G$3 + SUM(Tabela134[[#This Row],[EMOL VD]]:Tabela134[[#This Row],[OUTRAS VD]])</f>
        <v>20.85</v>
      </c>
      <c r="V14" s="6">
        <f>((([APLICAÇÃO] * 2) - [TAXA VD]) - ([APLICAÇÃO] + [TAXA CP])) * 0.85</f>
        <v>1581.7140000000002</v>
      </c>
      <c r="W14" s="14">
        <f>[APLICAÇÃO] - (ROUND([RENDA FIXA] * 0.1,2))</f>
        <v>1900</v>
      </c>
      <c r="X14" s="4">
        <f>Tabela134[[#This Row],[PERDA MAX]]/Tabela134[[#This Row],[APLICAÇÃO]]</f>
        <v>1</v>
      </c>
      <c r="Y14" s="15">
        <f>IF([LUCRO] &lt; ([RENDA FIXA]/2), 0.8, 0.8)</f>
        <v>0.8</v>
      </c>
      <c r="Z14" s="6">
        <f>IF([LUCRO] &lt; 0, 0, ROUND([LUCRO]*[NO BOLSO], 2))</f>
        <v>0</v>
      </c>
      <c r="AA14" s="6">
        <f>[LUCRO]-[PROTEÇÃO MÊS]</f>
        <v>0</v>
      </c>
      <c r="AB14" s="6">
        <f>[RENDA FIXA] + [PROTEÇÃO MÊS] - [APORTE RF]</f>
        <v>0</v>
      </c>
      <c r="AC14" s="6">
        <f>[TOT RF] + [REINVESTIR] + [APLICAÇÃO]</f>
        <v>1900</v>
      </c>
    </row>
    <row r="15" spans="1:29">
      <c r="B15" s="47"/>
      <c r="C15" s="3"/>
      <c r="D15" s="3"/>
      <c r="E15" s="3"/>
      <c r="G15" s="6">
        <f>100</f>
        <v>100</v>
      </c>
      <c r="H15" s="6">
        <f>SUMPRODUCT(N([TRADE] &lt;= Tabela134[[#This Row],[TRADE]]), [APORTE]) + SUMPRODUCT(N([TRADE] &lt;= Tabela134[[#This Row],[TRADE]]), [APORTE RF])</f>
        <v>1900</v>
      </c>
      <c r="I15" s="6">
        <f>[MONTANTE] - SUMPRODUCT(N([TRADE] &lt;= Tabela134[[#This Row],[TRADE]]), [SAQUE]) + SUMPRODUCT(N([TRADE] &lt; Tabela134[[#This Row],[TRADE]]), [REINVESTIR])</f>
        <v>1900</v>
      </c>
      <c r="J15" s="6">
        <f>TRUNC([APLICAÇÃO]  * SETUP!$A$3, 2)</f>
        <v>0.7</v>
      </c>
      <c r="K15" s="6">
        <f>TRUNC([APLICAÇÃO]  * SETUP!$B$3, 2)</f>
        <v>0.52</v>
      </c>
      <c r="L15" s="6">
        <f>TRUNC([APLICAÇÃO]  * SETUP!$C$3, 2)</f>
        <v>1.32</v>
      </c>
      <c r="M15" s="6">
        <f>TRUNC(SETUP!$G$3  * SETUP!$H$3, 2)</f>
        <v>0.28999999999999998</v>
      </c>
      <c r="N15" s="6">
        <f>ROUND(SETUP!$G$3 * SETUP!$I$3, 2)</f>
        <v>0.57999999999999996</v>
      </c>
      <c r="O15" s="6">
        <f>SETUP!$G$3 + SUM(Tabela134[[#This Row],[EMOL CP]]:Tabela134[[#This Row],[OUTRAS CP]])</f>
        <v>18.310000000000002</v>
      </c>
      <c r="P15" s="6">
        <f>TRUNC([APLICAÇÃO] * 2  * SETUP!$A$3, 2)</f>
        <v>1.4</v>
      </c>
      <c r="Q15" s="6">
        <f>TRUNC([APLICAÇÃO] * 2  * SETUP!$B$3, 2)</f>
        <v>1.04</v>
      </c>
      <c r="R15" s="6">
        <f>TRUNC([APLICAÇÃO] * 2  * SETUP!$C$3, 2)</f>
        <v>2.64</v>
      </c>
      <c r="S15" s="6">
        <f>TRUNC(SETUP!$G$3  * SETUP!$H$3, 2)</f>
        <v>0.28999999999999998</v>
      </c>
      <c r="T15" s="6">
        <f>ROUND(SETUP!$G$3 * SETUP!$I$3, 2)</f>
        <v>0.57999999999999996</v>
      </c>
      <c r="U15" s="6">
        <f>SETUP!$G$3 + SUM(Tabela134[[#This Row],[EMOL VD]]:Tabela134[[#This Row],[OUTRAS VD]])</f>
        <v>20.85</v>
      </c>
      <c r="V15" s="6">
        <f>((([APLICAÇÃO] * 2) - [TAXA VD]) - ([APLICAÇÃO] + [TAXA CP])) * 0.85</f>
        <v>1581.7140000000002</v>
      </c>
      <c r="W15" s="14">
        <f>[APLICAÇÃO] - (ROUND([RENDA FIXA] * 0.1,2))</f>
        <v>1900</v>
      </c>
      <c r="X15" s="4">
        <f>Tabela134[[#This Row],[PERDA MAX]]/Tabela134[[#This Row],[APLICAÇÃO]]</f>
        <v>1</v>
      </c>
      <c r="Y15" s="15">
        <f>IF([LUCRO] &lt; ([RENDA FIXA]/2), 0.8, 0.8)</f>
        <v>0.8</v>
      </c>
      <c r="Z15" s="6">
        <f>IF([LUCRO] &lt; 0, 0, ROUND([LUCRO]*[NO BOLSO], 2))</f>
        <v>0</v>
      </c>
      <c r="AA15" s="6">
        <f>[LUCRO]-[PROTEÇÃO MÊS]</f>
        <v>0</v>
      </c>
      <c r="AB15" s="6">
        <f>[RENDA FIXA] + [PROTEÇÃO MÊS] - [APORTE RF]</f>
        <v>0</v>
      </c>
      <c r="AC15" s="6">
        <f>[TOT RF] + [REINVESTIR] + [APLICAÇÃO]</f>
        <v>1900</v>
      </c>
    </row>
    <row r="16" spans="1:29">
      <c r="A16" s="46"/>
      <c r="B16" s="48"/>
      <c r="C16" s="21"/>
      <c r="D16" s="21"/>
      <c r="E16" s="21"/>
      <c r="F16" s="21"/>
      <c r="G16" s="22">
        <f>100</f>
        <v>100</v>
      </c>
      <c r="H16" s="22">
        <f>SUMPRODUCT(N([TRADE] &lt;= Tabela134[[#This Row],[TRADE]]), [APORTE]) + SUMPRODUCT(N([TRADE] &lt;= Tabela134[[#This Row],[TRADE]]), [APORTE RF])</f>
        <v>1900</v>
      </c>
      <c r="I16" s="22">
        <f>[MONTANTE] - SUMPRODUCT(N([TRADE] &lt;= Tabela134[[#This Row],[TRADE]]), [SAQUE]) + SUMPRODUCT(N([TRADE] &lt; Tabela134[[#This Row],[TRADE]]), [REINVESTIR])</f>
        <v>1900</v>
      </c>
      <c r="J16" s="22">
        <f>TRUNC([APLICAÇÃO]  * SETUP!$A$3, 2)</f>
        <v>0.7</v>
      </c>
      <c r="K16" s="22">
        <f>TRUNC([APLICAÇÃO]  * SETUP!$B$3, 2)</f>
        <v>0.52</v>
      </c>
      <c r="L16" s="22">
        <f>TRUNC([APLICAÇÃO]  * SETUP!$C$3, 2)</f>
        <v>1.32</v>
      </c>
      <c r="M16" s="22">
        <f>TRUNC(SETUP!$G$3  * SETUP!$H$3, 2)</f>
        <v>0.28999999999999998</v>
      </c>
      <c r="N16" s="22">
        <f>ROUND(SETUP!$G$3 * SETUP!$I$3, 2)</f>
        <v>0.57999999999999996</v>
      </c>
      <c r="O16" s="22">
        <f>SETUP!$G$3 + SUM(Tabela134[[#This Row],[EMOL CP]]:Tabela134[[#This Row],[OUTRAS CP]])</f>
        <v>18.310000000000002</v>
      </c>
      <c r="P16" s="22">
        <f>TRUNC([APLICAÇÃO] * 2  * SETUP!$A$3, 2)</f>
        <v>1.4</v>
      </c>
      <c r="Q16" s="22">
        <f>TRUNC([APLICAÇÃO] * 2  * SETUP!$B$3, 2)</f>
        <v>1.04</v>
      </c>
      <c r="R16" s="22">
        <f>TRUNC([APLICAÇÃO] * 2  * SETUP!$C$3, 2)</f>
        <v>2.64</v>
      </c>
      <c r="S16" s="22">
        <f>TRUNC(SETUP!$G$3  * SETUP!$H$3, 2)</f>
        <v>0.28999999999999998</v>
      </c>
      <c r="T16" s="22">
        <f>ROUND(SETUP!$G$3 * SETUP!$I$3, 2)</f>
        <v>0.57999999999999996</v>
      </c>
      <c r="U16" s="22">
        <f>SETUP!$G$3 + SUM(Tabela134[[#This Row],[EMOL VD]]:Tabela134[[#This Row],[OUTRAS VD]])</f>
        <v>20.85</v>
      </c>
      <c r="V16" s="22">
        <f>((([APLICAÇÃO] * 2) - [TAXA VD]) - ([APLICAÇÃO] + [TAXA CP])) * 0.85</f>
        <v>1581.7140000000002</v>
      </c>
      <c r="W16" s="23">
        <f>[APLICAÇÃO] - (ROUND([RENDA FIXA] * 0.1,2))</f>
        <v>1900</v>
      </c>
      <c r="X16" s="24">
        <f>Tabela134[[#This Row],[PERDA MAX]]/Tabela134[[#This Row],[APLICAÇÃO]]</f>
        <v>1</v>
      </c>
      <c r="Y16" s="25">
        <f>IF([LUCRO] &lt; ([RENDA FIXA]/2), 0.8, 0.8)</f>
        <v>0.8</v>
      </c>
      <c r="Z16" s="22">
        <f>IF([LUCRO] &lt; 0, 0, ROUND([LUCRO]*[NO BOLSO], 2))</f>
        <v>0</v>
      </c>
      <c r="AA16" s="22">
        <f>[LUCRO]-[PROTEÇÃO MÊS]</f>
        <v>0</v>
      </c>
      <c r="AB16" s="22">
        <f>[RENDA FIXA] + [PROTEÇÃO MÊS] - [APORTE RF]</f>
        <v>0</v>
      </c>
      <c r="AC16" s="22">
        <f>[TOT RF] + [REINVESTIR] + [APLICAÇÃO]</f>
        <v>1900</v>
      </c>
    </row>
    <row r="17" spans="1:29">
      <c r="B17" s="47"/>
      <c r="C17" s="3"/>
      <c r="D17" s="3"/>
      <c r="E17" s="3"/>
      <c r="G17" s="6">
        <f>100</f>
        <v>100</v>
      </c>
      <c r="H17" s="6">
        <f>SUMPRODUCT(N([TRADE] &lt;= Tabela134[[#This Row],[TRADE]]), [APORTE]) + SUMPRODUCT(N([TRADE] &lt;= Tabela134[[#This Row],[TRADE]]), [APORTE RF])</f>
        <v>1900</v>
      </c>
      <c r="I17" s="6">
        <f>[MONTANTE] - SUMPRODUCT(N([TRADE] &lt;= Tabela134[[#This Row],[TRADE]]), [SAQUE]) + SUMPRODUCT(N([TRADE] &lt; Tabela134[[#This Row],[TRADE]]), [REINVESTIR])</f>
        <v>1900</v>
      </c>
      <c r="J17" s="6">
        <f>TRUNC([APLICAÇÃO]  * SETUP!$A$3, 2)</f>
        <v>0.7</v>
      </c>
      <c r="K17" s="6">
        <f>TRUNC([APLICAÇÃO]  * SETUP!$B$3, 2)</f>
        <v>0.52</v>
      </c>
      <c r="L17" s="6">
        <f>TRUNC([APLICAÇÃO]  * SETUP!$C$3, 2)</f>
        <v>1.32</v>
      </c>
      <c r="M17" s="6">
        <f>TRUNC(SETUP!$G$3  * SETUP!$H$3, 2)</f>
        <v>0.28999999999999998</v>
      </c>
      <c r="N17" s="6">
        <f>ROUND(SETUP!$G$3 * SETUP!$I$3, 2)</f>
        <v>0.57999999999999996</v>
      </c>
      <c r="O17" s="6">
        <f>SETUP!$G$3 + SUM(Tabela134[[#This Row],[EMOL CP]]:Tabela134[[#This Row],[OUTRAS CP]])</f>
        <v>18.310000000000002</v>
      </c>
      <c r="P17" s="6">
        <f>TRUNC([APLICAÇÃO] * 2  * SETUP!$A$3, 2)</f>
        <v>1.4</v>
      </c>
      <c r="Q17" s="6">
        <f>TRUNC([APLICAÇÃO] * 2  * SETUP!$B$3, 2)</f>
        <v>1.04</v>
      </c>
      <c r="R17" s="6">
        <f>TRUNC([APLICAÇÃO] * 2  * SETUP!$C$3, 2)</f>
        <v>2.64</v>
      </c>
      <c r="S17" s="6">
        <f>TRUNC(SETUP!$G$3  * SETUP!$H$3, 2)</f>
        <v>0.28999999999999998</v>
      </c>
      <c r="T17" s="6">
        <f>ROUND(SETUP!$G$3 * SETUP!$I$3, 2)</f>
        <v>0.57999999999999996</v>
      </c>
      <c r="U17" s="6">
        <f>SETUP!$G$3 + SUM(Tabela134[[#This Row],[EMOL VD]]:Tabela134[[#This Row],[OUTRAS VD]])</f>
        <v>20.85</v>
      </c>
      <c r="V17" s="6">
        <f>((([APLICAÇÃO] * 2) - [TAXA VD]) - ([APLICAÇÃO] + [TAXA CP])) * 0.85</f>
        <v>1581.7140000000002</v>
      </c>
      <c r="W17" s="14">
        <f>[APLICAÇÃO] - (ROUND([RENDA FIXA] * 0.1,2))</f>
        <v>1900</v>
      </c>
      <c r="X17" s="4">
        <f>Tabela134[[#This Row],[PERDA MAX]]/Tabela134[[#This Row],[APLICAÇÃO]]</f>
        <v>1</v>
      </c>
      <c r="Y17" s="15">
        <f>IF([LUCRO] &lt; ([RENDA FIXA]/2), 0.8, 0.8)</f>
        <v>0.8</v>
      </c>
      <c r="Z17" s="6">
        <f>IF([LUCRO] &lt; 0, 0, ROUND([LUCRO]*[NO BOLSO], 2))</f>
        <v>0</v>
      </c>
      <c r="AA17" s="6">
        <f>[LUCRO]-[PROTEÇÃO MÊS]</f>
        <v>0</v>
      </c>
      <c r="AB17" s="6">
        <f>[RENDA FIXA] + [PROTEÇÃO MÊS] - [APORTE RF]</f>
        <v>0</v>
      </c>
      <c r="AC17" s="6">
        <f>[TOT RF] + [REINVESTIR] + [APLICAÇÃO]</f>
        <v>1900</v>
      </c>
    </row>
    <row r="18" spans="1:29">
      <c r="B18" s="47"/>
      <c r="C18" s="3"/>
      <c r="D18" s="3"/>
      <c r="E18" s="3"/>
      <c r="G18" s="6">
        <f>100</f>
        <v>100</v>
      </c>
      <c r="H18" s="6">
        <f>SUMPRODUCT(N([TRADE] &lt;= Tabela134[[#This Row],[TRADE]]), [APORTE]) + SUMPRODUCT(N([TRADE] &lt;= Tabela134[[#This Row],[TRADE]]), [APORTE RF])</f>
        <v>1900</v>
      </c>
      <c r="I18" s="6">
        <f>[MONTANTE] - SUMPRODUCT(N([TRADE] &lt;= Tabela134[[#This Row],[TRADE]]), [SAQUE]) + SUMPRODUCT(N([TRADE] &lt; Tabela134[[#This Row],[TRADE]]), [REINVESTIR])</f>
        <v>1900</v>
      </c>
      <c r="J18" s="6">
        <f>TRUNC([APLICAÇÃO]  * SETUP!$A$3, 2)</f>
        <v>0.7</v>
      </c>
      <c r="K18" s="6">
        <f>TRUNC([APLICAÇÃO]  * SETUP!$B$3, 2)</f>
        <v>0.52</v>
      </c>
      <c r="L18" s="6">
        <f>TRUNC([APLICAÇÃO]  * SETUP!$C$3, 2)</f>
        <v>1.32</v>
      </c>
      <c r="M18" s="6">
        <f>TRUNC(SETUP!$G$3  * SETUP!$H$3, 2)</f>
        <v>0.28999999999999998</v>
      </c>
      <c r="N18" s="6">
        <f>ROUND(SETUP!$G$3 * SETUP!$I$3, 2)</f>
        <v>0.57999999999999996</v>
      </c>
      <c r="O18" s="6">
        <f>SETUP!$G$3 + SUM(Tabela134[[#This Row],[EMOL CP]]:Tabela134[[#This Row],[OUTRAS CP]])</f>
        <v>18.310000000000002</v>
      </c>
      <c r="P18" s="6">
        <f>TRUNC([APLICAÇÃO] * 2  * SETUP!$A$3, 2)</f>
        <v>1.4</v>
      </c>
      <c r="Q18" s="6">
        <f>TRUNC([APLICAÇÃO] * 2  * SETUP!$B$3, 2)</f>
        <v>1.04</v>
      </c>
      <c r="R18" s="6">
        <f>TRUNC([APLICAÇÃO] * 2  * SETUP!$C$3, 2)</f>
        <v>2.64</v>
      </c>
      <c r="S18" s="6">
        <f>TRUNC(SETUP!$G$3  * SETUP!$H$3, 2)</f>
        <v>0.28999999999999998</v>
      </c>
      <c r="T18" s="6">
        <f>ROUND(SETUP!$G$3 * SETUP!$I$3, 2)</f>
        <v>0.57999999999999996</v>
      </c>
      <c r="U18" s="6">
        <f>SETUP!$G$3 + SUM(Tabela134[[#This Row],[EMOL VD]]:Tabela134[[#This Row],[OUTRAS VD]])</f>
        <v>20.85</v>
      </c>
      <c r="V18" s="6">
        <f>((([APLICAÇÃO] * 2) - [TAXA VD]) - ([APLICAÇÃO] + [TAXA CP])) * 0.85</f>
        <v>1581.7140000000002</v>
      </c>
      <c r="W18" s="14">
        <f>[APLICAÇÃO] - (ROUND([RENDA FIXA] * 0.1,2))</f>
        <v>1900</v>
      </c>
      <c r="X18" s="4">
        <f>Tabela134[[#This Row],[PERDA MAX]]/Tabela134[[#This Row],[APLICAÇÃO]]</f>
        <v>1</v>
      </c>
      <c r="Y18" s="15">
        <f>IF([LUCRO] &lt; ([RENDA FIXA]/2), 0.8, 0.8)</f>
        <v>0.8</v>
      </c>
      <c r="Z18" s="6">
        <f>IF([LUCRO] &lt; 0, 0, ROUND([LUCRO]*[NO BOLSO], 2))</f>
        <v>0</v>
      </c>
      <c r="AA18" s="6">
        <f>[LUCRO]-[PROTEÇÃO MÊS]</f>
        <v>0</v>
      </c>
      <c r="AB18" s="6">
        <f>[RENDA FIXA] + [PROTEÇÃO MÊS] - [APORTE RF]</f>
        <v>0</v>
      </c>
      <c r="AC18" s="6">
        <f>[TOT RF] + [REINVESTIR] + [APLICAÇÃO]</f>
        <v>1900</v>
      </c>
    </row>
    <row r="19" spans="1:29">
      <c r="B19" s="47"/>
      <c r="C19" s="3"/>
      <c r="D19" s="3"/>
      <c r="E19" s="3"/>
      <c r="G19" s="6">
        <f>100</f>
        <v>100</v>
      </c>
      <c r="H19" s="6">
        <f>SUMPRODUCT(N([TRADE] &lt;= Tabela134[[#This Row],[TRADE]]), [APORTE]) + SUMPRODUCT(N([TRADE] &lt;= Tabela134[[#This Row],[TRADE]]), [APORTE RF])</f>
        <v>1900</v>
      </c>
      <c r="I19" s="6">
        <f>[MONTANTE] - SUMPRODUCT(N([TRADE] &lt;= Tabela134[[#This Row],[TRADE]]), [SAQUE]) + SUMPRODUCT(N([TRADE] &lt; Tabela134[[#This Row],[TRADE]]), [REINVESTIR])</f>
        <v>1900</v>
      </c>
      <c r="J19" s="6">
        <f>TRUNC([APLICAÇÃO]  * SETUP!$A$3, 2)</f>
        <v>0.7</v>
      </c>
      <c r="K19" s="6">
        <f>TRUNC([APLICAÇÃO]  * SETUP!$B$3, 2)</f>
        <v>0.52</v>
      </c>
      <c r="L19" s="6">
        <f>TRUNC([APLICAÇÃO]  * SETUP!$C$3, 2)</f>
        <v>1.32</v>
      </c>
      <c r="M19" s="6">
        <f>TRUNC(SETUP!$G$3  * SETUP!$H$3, 2)</f>
        <v>0.28999999999999998</v>
      </c>
      <c r="N19" s="6">
        <f>ROUND(SETUP!$G$3 * SETUP!$I$3, 2)</f>
        <v>0.57999999999999996</v>
      </c>
      <c r="O19" s="6">
        <f>SETUP!$G$3 + SUM(Tabela134[[#This Row],[EMOL CP]]:Tabela134[[#This Row],[OUTRAS CP]])</f>
        <v>18.310000000000002</v>
      </c>
      <c r="P19" s="6">
        <f>TRUNC([APLICAÇÃO] * 2  * SETUP!$A$3, 2)</f>
        <v>1.4</v>
      </c>
      <c r="Q19" s="6">
        <f>TRUNC([APLICAÇÃO] * 2  * SETUP!$B$3, 2)</f>
        <v>1.04</v>
      </c>
      <c r="R19" s="6">
        <f>TRUNC([APLICAÇÃO] * 2  * SETUP!$C$3, 2)</f>
        <v>2.64</v>
      </c>
      <c r="S19" s="6">
        <f>TRUNC(SETUP!$G$3  * SETUP!$H$3, 2)</f>
        <v>0.28999999999999998</v>
      </c>
      <c r="T19" s="6">
        <f>ROUND(SETUP!$G$3 * SETUP!$I$3, 2)</f>
        <v>0.57999999999999996</v>
      </c>
      <c r="U19" s="6">
        <f>SETUP!$G$3 + SUM(Tabela134[[#This Row],[EMOL VD]]:Tabela134[[#This Row],[OUTRAS VD]])</f>
        <v>20.85</v>
      </c>
      <c r="V19" s="6">
        <f>((([APLICAÇÃO] * 2) - [TAXA VD]) - ([APLICAÇÃO] + [TAXA CP])) * 0.85</f>
        <v>1581.7140000000002</v>
      </c>
      <c r="W19" s="14">
        <f>[APLICAÇÃO] - (ROUND([RENDA FIXA] * 0.1,2))</f>
        <v>1900</v>
      </c>
      <c r="X19" s="4">
        <f>Tabela134[[#This Row],[PERDA MAX]]/Tabela134[[#This Row],[APLICAÇÃO]]</f>
        <v>1</v>
      </c>
      <c r="Y19" s="15">
        <f>IF([LUCRO] &lt; ([RENDA FIXA]/2), 0.8, 0.8)</f>
        <v>0.8</v>
      </c>
      <c r="Z19" s="6">
        <f>IF([LUCRO] &lt; 0, 0, ROUND([LUCRO]*[NO BOLSO], 2))</f>
        <v>0</v>
      </c>
      <c r="AA19" s="6">
        <f>[LUCRO]-[PROTEÇÃO MÊS]</f>
        <v>0</v>
      </c>
      <c r="AB19" s="6">
        <f>[RENDA FIXA] + [PROTEÇÃO MÊS] - [APORTE RF]</f>
        <v>0</v>
      </c>
      <c r="AC19" s="6">
        <f>[TOT RF] + [REINVESTIR] + [APLICAÇÃO]</f>
        <v>1900</v>
      </c>
    </row>
    <row r="20" spans="1:29">
      <c r="B20" s="47"/>
      <c r="C20" s="3"/>
      <c r="D20" s="3"/>
      <c r="E20" s="3"/>
      <c r="G20" s="6">
        <f>100</f>
        <v>100</v>
      </c>
      <c r="H20" s="6">
        <f>SUMPRODUCT(N([TRADE] &lt;= Tabela134[[#This Row],[TRADE]]), [APORTE]) + SUMPRODUCT(N([TRADE] &lt;= Tabela134[[#This Row],[TRADE]]), [APORTE RF])</f>
        <v>1900</v>
      </c>
      <c r="I20" s="6">
        <f>[MONTANTE] - SUMPRODUCT(N([TRADE] &lt;= Tabela134[[#This Row],[TRADE]]), [SAQUE]) + SUMPRODUCT(N([TRADE] &lt; Tabela134[[#This Row],[TRADE]]), [REINVESTIR])</f>
        <v>1900</v>
      </c>
      <c r="J20" s="6">
        <f>TRUNC([APLICAÇÃO]  * SETUP!$A$3, 2)</f>
        <v>0.7</v>
      </c>
      <c r="K20" s="6">
        <f>TRUNC([APLICAÇÃO]  * SETUP!$B$3, 2)</f>
        <v>0.52</v>
      </c>
      <c r="L20" s="6">
        <f>TRUNC([APLICAÇÃO]  * SETUP!$C$3, 2)</f>
        <v>1.32</v>
      </c>
      <c r="M20" s="6">
        <f>TRUNC(SETUP!$G$3  * SETUP!$H$3, 2)</f>
        <v>0.28999999999999998</v>
      </c>
      <c r="N20" s="6">
        <f>ROUND(SETUP!$G$3 * SETUP!$I$3, 2)</f>
        <v>0.57999999999999996</v>
      </c>
      <c r="O20" s="6">
        <f>SETUP!$G$3 + SUM(Tabela134[[#This Row],[EMOL CP]]:Tabela134[[#This Row],[OUTRAS CP]])</f>
        <v>18.310000000000002</v>
      </c>
      <c r="P20" s="6">
        <f>TRUNC([APLICAÇÃO] * 2  * SETUP!$A$3, 2)</f>
        <v>1.4</v>
      </c>
      <c r="Q20" s="6">
        <f>TRUNC([APLICAÇÃO] * 2  * SETUP!$B$3, 2)</f>
        <v>1.04</v>
      </c>
      <c r="R20" s="6">
        <f>TRUNC([APLICAÇÃO] * 2  * SETUP!$C$3, 2)</f>
        <v>2.64</v>
      </c>
      <c r="S20" s="6">
        <f>TRUNC(SETUP!$G$3  * SETUP!$H$3, 2)</f>
        <v>0.28999999999999998</v>
      </c>
      <c r="T20" s="6">
        <f>ROUND(SETUP!$G$3 * SETUP!$I$3, 2)</f>
        <v>0.57999999999999996</v>
      </c>
      <c r="U20" s="6">
        <f>SETUP!$G$3 + SUM(Tabela134[[#This Row],[EMOL VD]]:Tabela134[[#This Row],[OUTRAS VD]])</f>
        <v>20.85</v>
      </c>
      <c r="V20" s="6">
        <f>((([APLICAÇÃO] * 2) - [TAXA VD]) - ([APLICAÇÃO] + [TAXA CP])) * 0.85</f>
        <v>1581.7140000000002</v>
      </c>
      <c r="W20" s="14">
        <f>[APLICAÇÃO] - (ROUND([RENDA FIXA] * 0.1,2))</f>
        <v>1900</v>
      </c>
      <c r="X20" s="4">
        <f>Tabela134[[#This Row],[PERDA MAX]]/Tabela134[[#This Row],[APLICAÇÃO]]</f>
        <v>1</v>
      </c>
      <c r="Y20" s="15">
        <f>IF([LUCRO] &lt; ([RENDA FIXA]/2), 0.8, 0.8)</f>
        <v>0.8</v>
      </c>
      <c r="Z20" s="6">
        <f>IF([LUCRO] &lt; 0, 0, ROUND([LUCRO]*[NO BOLSO], 2))</f>
        <v>0</v>
      </c>
      <c r="AA20" s="6">
        <f>[LUCRO]-[PROTEÇÃO MÊS]</f>
        <v>0</v>
      </c>
      <c r="AB20" s="6">
        <f>[RENDA FIXA] + [PROTEÇÃO MÊS] - [APORTE RF]</f>
        <v>0</v>
      </c>
      <c r="AC20" s="6">
        <f>[TOT RF] + [REINVESTIR] + [APLICAÇÃO]</f>
        <v>1900</v>
      </c>
    </row>
    <row r="21" spans="1:29">
      <c r="B21" s="47"/>
      <c r="C21" s="3"/>
      <c r="D21" s="3"/>
      <c r="E21" s="3"/>
      <c r="G21" s="6">
        <f>100</f>
        <v>100</v>
      </c>
      <c r="H21" s="6">
        <f>SUMPRODUCT(N([TRADE] &lt;= Tabela134[[#This Row],[TRADE]]), [APORTE]) + SUMPRODUCT(N([TRADE] &lt;= Tabela134[[#This Row],[TRADE]]), [APORTE RF])</f>
        <v>1900</v>
      </c>
      <c r="I21" s="6">
        <f>[MONTANTE] - SUMPRODUCT(N([TRADE] &lt;= Tabela134[[#This Row],[TRADE]]), [SAQUE]) + SUMPRODUCT(N([TRADE] &lt; Tabela134[[#This Row],[TRADE]]), [REINVESTIR])</f>
        <v>1900</v>
      </c>
      <c r="J21" s="6">
        <f>TRUNC([APLICAÇÃO]  * SETUP!$A$3, 2)</f>
        <v>0.7</v>
      </c>
      <c r="K21" s="6">
        <f>TRUNC([APLICAÇÃO]  * SETUP!$B$3, 2)</f>
        <v>0.52</v>
      </c>
      <c r="L21" s="6">
        <f>TRUNC([APLICAÇÃO]  * SETUP!$C$3, 2)</f>
        <v>1.32</v>
      </c>
      <c r="M21" s="6">
        <f>TRUNC(SETUP!$G$3  * SETUP!$H$3, 2)</f>
        <v>0.28999999999999998</v>
      </c>
      <c r="N21" s="6">
        <f>ROUND(SETUP!$G$3 * SETUP!$I$3, 2)</f>
        <v>0.57999999999999996</v>
      </c>
      <c r="O21" s="6">
        <f>SETUP!$G$3 + SUM(Tabela134[[#This Row],[EMOL CP]]:Tabela134[[#This Row],[OUTRAS CP]])</f>
        <v>18.310000000000002</v>
      </c>
      <c r="P21" s="6">
        <f>TRUNC([APLICAÇÃO] * 2  * SETUP!$A$3, 2)</f>
        <v>1.4</v>
      </c>
      <c r="Q21" s="6">
        <f>TRUNC([APLICAÇÃO] * 2  * SETUP!$B$3, 2)</f>
        <v>1.04</v>
      </c>
      <c r="R21" s="6">
        <f>TRUNC([APLICAÇÃO] * 2  * SETUP!$C$3, 2)</f>
        <v>2.64</v>
      </c>
      <c r="S21" s="6">
        <f>TRUNC(SETUP!$G$3  * SETUP!$H$3, 2)</f>
        <v>0.28999999999999998</v>
      </c>
      <c r="T21" s="6">
        <f>ROUND(SETUP!$G$3 * SETUP!$I$3, 2)</f>
        <v>0.57999999999999996</v>
      </c>
      <c r="U21" s="6">
        <f>SETUP!$G$3 + SUM(Tabela134[[#This Row],[EMOL VD]]:Tabela134[[#This Row],[OUTRAS VD]])</f>
        <v>20.85</v>
      </c>
      <c r="V21" s="6">
        <f>((([APLICAÇÃO] * 2) - [TAXA VD]) - ([APLICAÇÃO] + [TAXA CP])) * 0.85</f>
        <v>1581.7140000000002</v>
      </c>
      <c r="W21" s="14">
        <f>[APLICAÇÃO] - (ROUND([RENDA FIXA] * 0.1,2))</f>
        <v>1900</v>
      </c>
      <c r="X21" s="4">
        <f>Tabela134[[#This Row],[PERDA MAX]]/Tabela134[[#This Row],[APLICAÇÃO]]</f>
        <v>1</v>
      </c>
      <c r="Y21" s="15">
        <f>IF([LUCRO] &lt; ([RENDA FIXA]/2), 0.8, 0.8)</f>
        <v>0.8</v>
      </c>
      <c r="Z21" s="6">
        <f>IF([LUCRO] &lt; 0, 0, ROUND([LUCRO]*[NO BOLSO], 2))</f>
        <v>0</v>
      </c>
      <c r="AA21" s="6">
        <f>[LUCRO]-[PROTEÇÃO MÊS]</f>
        <v>0</v>
      </c>
      <c r="AB21" s="6">
        <f>[RENDA FIXA] + [PROTEÇÃO MÊS] - [APORTE RF]</f>
        <v>0</v>
      </c>
      <c r="AC21" s="6">
        <f>[TOT RF] + [REINVESTIR] + [APLICAÇÃO]</f>
        <v>1900</v>
      </c>
    </row>
    <row r="22" spans="1:29">
      <c r="A22" s="46"/>
      <c r="B22" s="48"/>
      <c r="C22" s="21"/>
      <c r="D22" s="21"/>
      <c r="E22" s="21"/>
      <c r="F22" s="21"/>
      <c r="G22" s="22">
        <f>100</f>
        <v>100</v>
      </c>
      <c r="H22" s="22">
        <f>SUMPRODUCT(N([TRADE] &lt;= Tabela134[[#This Row],[TRADE]]), [APORTE]) + SUMPRODUCT(N([TRADE] &lt;= Tabela134[[#This Row],[TRADE]]), [APORTE RF])</f>
        <v>1900</v>
      </c>
      <c r="I22" s="22">
        <f>[MONTANTE] - SUMPRODUCT(N([TRADE] &lt;= Tabela134[[#This Row],[TRADE]]), [SAQUE]) + SUMPRODUCT(N([TRADE] &lt; Tabela134[[#This Row],[TRADE]]), [REINVESTIR])</f>
        <v>1900</v>
      </c>
      <c r="J22" s="22">
        <f>TRUNC([APLICAÇÃO]  * SETUP!$A$3, 2)</f>
        <v>0.7</v>
      </c>
      <c r="K22" s="22">
        <f>TRUNC([APLICAÇÃO]  * SETUP!$B$3, 2)</f>
        <v>0.52</v>
      </c>
      <c r="L22" s="22">
        <f>TRUNC([APLICAÇÃO]  * SETUP!$C$3, 2)</f>
        <v>1.32</v>
      </c>
      <c r="M22" s="22">
        <f>TRUNC(SETUP!$G$3  * SETUP!$H$3, 2)</f>
        <v>0.28999999999999998</v>
      </c>
      <c r="N22" s="22">
        <f>ROUND(SETUP!$G$3 * SETUP!$I$3, 2)</f>
        <v>0.57999999999999996</v>
      </c>
      <c r="O22" s="22">
        <f>SETUP!$G$3 + SUM(Tabela134[[#This Row],[EMOL CP]]:Tabela134[[#This Row],[OUTRAS CP]])</f>
        <v>18.310000000000002</v>
      </c>
      <c r="P22" s="22">
        <f>TRUNC([APLICAÇÃO] * 2  * SETUP!$A$3, 2)</f>
        <v>1.4</v>
      </c>
      <c r="Q22" s="22">
        <f>TRUNC([APLICAÇÃO] * 2  * SETUP!$B$3, 2)</f>
        <v>1.04</v>
      </c>
      <c r="R22" s="22">
        <f>TRUNC([APLICAÇÃO] * 2  * SETUP!$C$3, 2)</f>
        <v>2.64</v>
      </c>
      <c r="S22" s="22">
        <f>TRUNC(SETUP!$G$3  * SETUP!$H$3, 2)</f>
        <v>0.28999999999999998</v>
      </c>
      <c r="T22" s="22">
        <f>ROUND(SETUP!$G$3 * SETUP!$I$3, 2)</f>
        <v>0.57999999999999996</v>
      </c>
      <c r="U22" s="22">
        <f>SETUP!$G$3 + SUM(Tabela134[[#This Row],[EMOL VD]]:Tabela134[[#This Row],[OUTRAS VD]])</f>
        <v>20.85</v>
      </c>
      <c r="V22" s="22">
        <f>((([APLICAÇÃO] * 2) - [TAXA VD]) - ([APLICAÇÃO] + [TAXA CP])) * 0.85</f>
        <v>1581.7140000000002</v>
      </c>
      <c r="W22" s="23">
        <f>[APLICAÇÃO] - (ROUND([RENDA FIXA] * 0.1,2))</f>
        <v>1900</v>
      </c>
      <c r="X22" s="24">
        <f>Tabela134[[#This Row],[PERDA MAX]]/Tabela134[[#This Row],[APLICAÇÃO]]</f>
        <v>1</v>
      </c>
      <c r="Y22" s="25">
        <f>IF([LUCRO] &lt; ([RENDA FIXA]/2), 0.8, 0.8)</f>
        <v>0.8</v>
      </c>
      <c r="Z22" s="22">
        <f>IF([LUCRO] &lt; 0, 0, ROUND([LUCRO]*[NO BOLSO], 2))</f>
        <v>0</v>
      </c>
      <c r="AA22" s="22">
        <f>[LUCRO]-[PROTEÇÃO MÊS]</f>
        <v>0</v>
      </c>
      <c r="AB22" s="22">
        <f>[RENDA FIXA] + [PROTEÇÃO MÊS] - [APORTE RF]</f>
        <v>0</v>
      </c>
      <c r="AC22" s="22">
        <f>[TOT RF] + [REINVESTIR] + [APLICAÇÃO]</f>
        <v>1900</v>
      </c>
    </row>
    <row r="23" spans="1:29">
      <c r="A23" s="1" t="s">
        <v>37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8"/>
      <c r="X23" s="17"/>
      <c r="Z23" s="17"/>
      <c r="AA23" s="17"/>
      <c r="AB23" s="17"/>
      <c r="AC23" s="1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2"/>
  <dimension ref="A1:I3"/>
  <sheetViews>
    <sheetView workbookViewId="0">
      <selection activeCell="G5" sqref="G5"/>
    </sheetView>
  </sheetViews>
  <sheetFormatPr defaultRowHeight="11.25"/>
  <cols>
    <col min="1" max="2" width="6.85546875" style="1" bestFit="1" customWidth="1"/>
    <col min="3" max="3" width="7.28515625" style="1" bestFit="1" customWidth="1"/>
    <col min="4" max="5" width="6.85546875" style="1" bestFit="1" customWidth="1"/>
    <col min="6" max="6" width="7.28515625" style="1" bestFit="1" customWidth="1"/>
    <col min="7" max="7" width="11.7109375" style="1" bestFit="1" customWidth="1"/>
    <col min="8" max="8" width="5.42578125" style="1" bestFit="1" customWidth="1"/>
    <col min="9" max="9" width="7.28515625" style="1" bestFit="1" customWidth="1"/>
    <col min="10" max="16384" width="9.140625" style="1"/>
  </cols>
  <sheetData>
    <row r="1" spans="1:9">
      <c r="A1" s="44" t="s">
        <v>10</v>
      </c>
      <c r="B1" s="44"/>
      <c r="C1" s="44"/>
      <c r="D1" s="44" t="s">
        <v>11</v>
      </c>
      <c r="E1" s="44"/>
      <c r="F1" s="44"/>
      <c r="G1" s="45" t="s">
        <v>22</v>
      </c>
      <c r="H1" s="45" t="s">
        <v>18</v>
      </c>
      <c r="I1" s="45" t="s">
        <v>23</v>
      </c>
    </row>
    <row r="2" spans="1:9">
      <c r="A2" s="7" t="s">
        <v>12</v>
      </c>
      <c r="B2" s="7" t="s">
        <v>13</v>
      </c>
      <c r="C2" s="7" t="s">
        <v>14</v>
      </c>
      <c r="D2" s="7" t="s">
        <v>12</v>
      </c>
      <c r="E2" s="7" t="s">
        <v>13</v>
      </c>
      <c r="F2" s="7" t="s">
        <v>14</v>
      </c>
      <c r="G2" s="45"/>
      <c r="H2" s="45"/>
      <c r="I2" s="45"/>
    </row>
    <row r="3" spans="1:9">
      <c r="A3" s="8">
        <v>3.6999999999999999E-4</v>
      </c>
      <c r="B3" s="8">
        <v>2.7499999999999996E-4</v>
      </c>
      <c r="C3" s="8">
        <v>6.9499999999999998E-4</v>
      </c>
      <c r="D3" s="8">
        <v>1.2E-4</v>
      </c>
      <c r="E3" s="8">
        <v>1.8000000000000001E-4</v>
      </c>
      <c r="F3" s="8">
        <v>1.4999999999999999E-4</v>
      </c>
      <c r="G3" s="9">
        <v>14.9</v>
      </c>
      <c r="H3" s="10">
        <v>0.02</v>
      </c>
      <c r="I3" s="10">
        <v>3.9E-2</v>
      </c>
    </row>
  </sheetData>
  <mergeCells count="5">
    <mergeCell ref="A1:C1"/>
    <mergeCell ref="D1:F1"/>
    <mergeCell ref="G1:G2"/>
    <mergeCell ref="H1:H2"/>
    <mergeCell ref="I1:I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A15" sqref="A15"/>
    </sheetView>
  </sheetViews>
  <sheetFormatPr defaultRowHeight="11.25"/>
  <cols>
    <col min="1" max="1" width="10" style="26" bestFit="1" customWidth="1"/>
    <col min="2" max="2" width="19.85546875" style="3" bestFit="1" customWidth="1"/>
    <col min="3" max="3" width="17" style="3" bestFit="1" customWidth="1"/>
    <col min="4" max="4" width="11.42578125" style="1" bestFit="1" customWidth="1"/>
    <col min="5" max="5" width="12.42578125" style="1" bestFit="1" customWidth="1"/>
    <col min="6" max="6" width="11.5703125" style="3" bestFit="1" customWidth="1"/>
    <col min="7" max="7" width="15.140625" style="1" bestFit="1" customWidth="1"/>
    <col min="8" max="16384" width="9.140625" style="1"/>
  </cols>
  <sheetData>
    <row r="1" spans="1:7" s="27" customFormat="1" ht="12" thickBot="1">
      <c r="A1" s="38" t="s">
        <v>3</v>
      </c>
      <c r="B1" s="39" t="s">
        <v>39</v>
      </c>
      <c r="C1" s="39" t="s">
        <v>40</v>
      </c>
      <c r="D1" s="40" t="s">
        <v>41</v>
      </c>
      <c r="E1" s="40" t="s">
        <v>42</v>
      </c>
      <c r="F1" s="39" t="s">
        <v>43</v>
      </c>
      <c r="G1" s="39" t="s">
        <v>44</v>
      </c>
    </row>
    <row r="2" spans="1:7" ht="12" thickTop="1">
      <c r="A2" s="41">
        <f>VOLATILIDADE!B2</f>
        <v>41000</v>
      </c>
      <c r="B2" s="42">
        <f>Tabela13[PROTEÇÃO MÊS]+Tabela134[PROTEÇÃO MÊS]+Tabela1[PROTEÇÃO MÊS]</f>
        <v>293.5</v>
      </c>
      <c r="C2" s="3">
        <v>0</v>
      </c>
      <c r="D2" s="43">
        <f>C2*25%</f>
        <v>0</v>
      </c>
      <c r="E2" s="42">
        <f>B2+D2</f>
        <v>293.5</v>
      </c>
      <c r="F2" s="42">
        <f>Tabela1[TOT RF]+Tabela13[TOT RF]</f>
        <v>293.5</v>
      </c>
      <c r="G2" s="42">
        <f>Tabela1[PATRIMÔNIO]+Tabela13[PATRIMÔNIO]</f>
        <v>466.88</v>
      </c>
    </row>
    <row r="3" spans="1:7">
      <c r="A3" s="41">
        <f>VOLATILIDADE!B3</f>
        <v>41030</v>
      </c>
      <c r="B3" s="42">
        <f>Tabela13[PROTEÇÃO MÊS]+Tabela134[PROTEÇÃO MÊS]+Tabela1[PROTEÇÃO MÊS]</f>
        <v>393.25</v>
      </c>
      <c r="C3" s="3">
        <v>64.180000000000007</v>
      </c>
      <c r="D3" s="43">
        <f>C3*25%</f>
        <v>16.045000000000002</v>
      </c>
      <c r="E3" s="42">
        <f>B3+D3</f>
        <v>409.29500000000002</v>
      </c>
      <c r="F3" s="42">
        <f>Tabela1[TOT RF]+Tabela13[TOT RF]</f>
        <v>686.75</v>
      </c>
      <c r="G3" s="42">
        <f>Tabela1[PATRIMÔNIO]+Tabela13[PATRIMÔNIO]</f>
        <v>1758.44</v>
      </c>
    </row>
    <row r="4" spans="1:7">
      <c r="A4" s="41">
        <f>VOLATILIDADE!B4</f>
        <v>41061</v>
      </c>
      <c r="B4" s="42">
        <f>Tabela13[PROTEÇÃO MÊS]+Tabela134[PROTEÇÃO MÊS]+Tabela1[PROTEÇÃO MÊS]</f>
        <v>1037.6199999999999</v>
      </c>
      <c r="C4" s="3">
        <v>0</v>
      </c>
      <c r="D4" s="43">
        <f>C4*25%</f>
        <v>0</v>
      </c>
      <c r="E4" s="42">
        <f>B4+D4</f>
        <v>1037.6199999999999</v>
      </c>
      <c r="F4" s="42">
        <f>Tabela1[TOT RF]+Tabela13[TOT RF]</f>
        <v>1724.37</v>
      </c>
      <c r="G4" s="42">
        <f>Tabela1[PATRIMÔNIO]+Tabela13[PATRIMÔNIO]</f>
        <v>3555.46</v>
      </c>
    </row>
    <row r="5" spans="1:7">
      <c r="A5" s="41">
        <f>VOLATILIDADE!B5</f>
        <v>41091</v>
      </c>
      <c r="B5" s="42">
        <f>Tabela13[PROTEÇÃO MÊS]+Tabela134[PROTEÇÃO MÊS]+Tabela1[PROTEÇÃO MÊS]</f>
        <v>1535.9099999999999</v>
      </c>
      <c r="C5" s="3">
        <v>0</v>
      </c>
      <c r="D5" s="43">
        <f>C5*25%</f>
        <v>0</v>
      </c>
      <c r="E5" s="42">
        <f>B5+D5</f>
        <v>1535.9099999999999</v>
      </c>
      <c r="F5" s="42">
        <f>Tabela1[TOT RF]+Tabela13[TOT RF]</f>
        <v>3260.28</v>
      </c>
      <c r="G5" s="42">
        <f>Tabela1[PATRIMÔNIO]+Tabela13[PATRIMÔNIO]</f>
        <v>5975.35</v>
      </c>
    </row>
    <row r="6" spans="1:7">
      <c r="A6" s="41">
        <f>VOLATILIDADE!B6</f>
        <v>41122</v>
      </c>
      <c r="B6" s="42">
        <f>Tabela13[PROTEÇÃO MÊS]+Tabela134[PROTEÇÃO MÊS]+Tabela1[PROTEÇÃO MÊS]</f>
        <v>2158.29</v>
      </c>
      <c r="C6" s="3">
        <v>0</v>
      </c>
      <c r="D6" s="43">
        <f t="shared" ref="D6:D22" si="0">C6*25%</f>
        <v>0</v>
      </c>
      <c r="E6" s="42">
        <f t="shared" ref="E6:E10" si="1">B6+D6</f>
        <v>2158.29</v>
      </c>
      <c r="F6" s="42">
        <f>Tabela1[TOT RF]+Tabela13[TOT RF]</f>
        <v>5418.57</v>
      </c>
      <c r="G6" s="42">
        <f>Tabela1[PATRIMÔNIO]+Tabela13[PATRIMÔNIO]</f>
        <v>9208.2200000000012</v>
      </c>
    </row>
    <row r="7" spans="1:7">
      <c r="A7" s="41">
        <f>VOLATILIDADE!B7</f>
        <v>41153</v>
      </c>
      <c r="B7" s="42">
        <f>Tabela13[PROTEÇÃO MÊS]+Tabela134[PROTEÇÃO MÊS]+Tabela1[PROTEÇÃO MÊS]</f>
        <v>2886.08</v>
      </c>
      <c r="C7" s="3">
        <v>0</v>
      </c>
      <c r="D7" s="43">
        <f t="shared" si="0"/>
        <v>0</v>
      </c>
      <c r="E7" s="42">
        <f t="shared" si="1"/>
        <v>2886.08</v>
      </c>
      <c r="F7" s="42">
        <f>Tabela1[TOT RF]+Tabela13[TOT RF]</f>
        <v>8304.6500000000015</v>
      </c>
      <c r="G7" s="42">
        <f>Tabela1[PATRIMÔNIO]+Tabela13[PATRIMÔNIO]</f>
        <v>13350.83</v>
      </c>
    </row>
    <row r="8" spans="1:7">
      <c r="A8" s="41">
        <f>VOLATILIDADE!B8</f>
        <v>41183</v>
      </c>
      <c r="B8" s="42">
        <f>Tabela13[PROTEÇÃO MÊS]+Tabela134[PROTEÇÃO MÊS]+Tabela1[PROTEÇÃO MÊS]</f>
        <v>3737.09</v>
      </c>
      <c r="C8" s="3">
        <v>0</v>
      </c>
      <c r="D8" s="43">
        <f t="shared" si="0"/>
        <v>0</v>
      </c>
      <c r="E8" s="42">
        <f t="shared" si="1"/>
        <v>3737.09</v>
      </c>
      <c r="F8" s="42">
        <f>Tabela1[TOT RF]+Tabela13[TOT RF]</f>
        <v>12041.74</v>
      </c>
      <c r="G8" s="42">
        <f>Tabela1[PATRIMÔNIO]+Tabela13[PATRIMÔNIO]</f>
        <v>18557.189999999999</v>
      </c>
    </row>
    <row r="9" spans="1:7">
      <c r="A9" s="41">
        <f>VOLATILIDADE!B9</f>
        <v>41214</v>
      </c>
      <c r="B9" s="42">
        <f>Tabela13[PROTEÇÃO MÊS]+Tabela134[PROTEÇÃO MÊS]+Tabela1[PROTEÇÃO MÊS]</f>
        <v>4935.37</v>
      </c>
      <c r="C9" s="3">
        <v>0</v>
      </c>
      <c r="D9" s="43">
        <f t="shared" si="0"/>
        <v>0</v>
      </c>
      <c r="E9" s="42">
        <f t="shared" si="1"/>
        <v>4935.37</v>
      </c>
      <c r="F9" s="42">
        <f>Tabela1[TOT RF]+Tabela13[TOT RF]</f>
        <v>16977.11</v>
      </c>
      <c r="G9" s="42">
        <f>Tabela1[PATRIMÔNIO]+Tabela13[PATRIMÔNIO]</f>
        <v>25561.410000000003</v>
      </c>
    </row>
    <row r="10" spans="1:7">
      <c r="A10" s="41">
        <f>VOLATILIDADE!B10</f>
        <v>41244</v>
      </c>
      <c r="B10" s="42">
        <f>Tabela13[PROTEÇÃO MÊS]+Tabela134[PROTEÇÃO MÊS]+Tabela1[PROTEÇÃO MÊS]</f>
        <v>6408.52</v>
      </c>
      <c r="C10" s="3">
        <v>0</v>
      </c>
      <c r="D10" s="43">
        <f t="shared" si="0"/>
        <v>0</v>
      </c>
      <c r="E10" s="42">
        <f t="shared" si="1"/>
        <v>6408.52</v>
      </c>
      <c r="F10" s="42">
        <f>Tabela1[TOT RF]+Tabela13[TOT RF]</f>
        <v>23385.63</v>
      </c>
      <c r="G10" s="42">
        <f>Tabela1[PATRIMÔNIO]+Tabela13[PATRIMÔNIO]</f>
        <v>34407.06</v>
      </c>
    </row>
    <row r="11" spans="1:7">
      <c r="A11" s="41">
        <f>VOLATILIDADE!B11</f>
        <v>41275</v>
      </c>
      <c r="B11" s="42">
        <f>Tabela13[PROTEÇÃO MÊS]+Tabela134[PROTEÇÃO MÊS]+Tabela1[PROTEÇÃO MÊS]</f>
        <v>7987.1</v>
      </c>
      <c r="C11" s="3">
        <v>0</v>
      </c>
      <c r="D11" s="43">
        <f t="shared" si="0"/>
        <v>0</v>
      </c>
      <c r="E11" s="42">
        <f t="shared" ref="E11:E16" si="2">B11+D11</f>
        <v>7987.1</v>
      </c>
      <c r="F11" s="42">
        <f>Tabela1[TOT RF]+Tabela13[TOT RF]</f>
        <v>31372.730000000003</v>
      </c>
      <c r="G11" s="42">
        <f>Tabela1[PATRIMÔNIO]+Tabela13[PATRIMÔNIO]</f>
        <v>45225.939999999995</v>
      </c>
    </row>
    <row r="12" spans="1:7">
      <c r="A12" s="41">
        <f>VOLATILIDADE!B12</f>
        <v>41306</v>
      </c>
      <c r="B12" s="42">
        <f>Tabela13[PROTEÇÃO MÊS]+Tabela134[PROTEÇÃO MÊS]+Tabela1[PROTEÇÃO MÊS]</f>
        <v>9904.98</v>
      </c>
      <c r="C12" s="3">
        <v>0</v>
      </c>
      <c r="D12" s="43">
        <f t="shared" si="0"/>
        <v>0</v>
      </c>
      <c r="E12" s="42">
        <f t="shared" si="2"/>
        <v>9904.98</v>
      </c>
      <c r="F12" s="42">
        <f>Tabela1[TOT RF]+Tabela13[TOT RF]</f>
        <v>41277.71</v>
      </c>
      <c r="G12" s="42">
        <f>Tabela1[PATRIMÔNIO]+Tabela13[PATRIMÔNIO]</f>
        <v>58442.17</v>
      </c>
    </row>
    <row r="13" spans="1:7">
      <c r="A13" s="41">
        <f>VOLATILIDADE!B13</f>
        <v>41334</v>
      </c>
      <c r="B13" s="42">
        <f>Tabela13[PROTEÇÃO MÊS]+Tabela134[PROTEÇÃO MÊS]+Tabela1[PROTEÇÃO MÊS]</f>
        <v>12327.05</v>
      </c>
      <c r="C13" s="3">
        <v>0</v>
      </c>
      <c r="D13" s="43">
        <f t="shared" si="0"/>
        <v>0</v>
      </c>
      <c r="E13" s="42">
        <f t="shared" si="2"/>
        <v>12327.05</v>
      </c>
      <c r="F13" s="42">
        <f>Tabela1[TOT RF]+Tabela13[TOT RF]</f>
        <v>53604.759999999995</v>
      </c>
      <c r="G13" s="42">
        <f>Tabela1[PATRIMÔNIO]+Tabela13[PATRIMÔNIO]</f>
        <v>74950.989999999991</v>
      </c>
    </row>
    <row r="14" spans="1:7">
      <c r="A14" s="41">
        <f>VOLATILIDADE!B14</f>
        <v>41365</v>
      </c>
      <c r="B14" s="42">
        <f>Tabela13[PROTEÇÃO MÊS]+Tabela134[PROTEÇÃO MÊS]+Tabela1[PROTEÇÃO MÊS]</f>
        <v>15159.24</v>
      </c>
      <c r="C14" s="3">
        <v>0</v>
      </c>
      <c r="D14" s="43">
        <f t="shared" si="0"/>
        <v>0</v>
      </c>
      <c r="E14" s="42">
        <f t="shared" si="2"/>
        <v>15159.24</v>
      </c>
      <c r="F14" s="42">
        <f>Tabela1[TOT RF]+Tabela13[TOT RF]</f>
        <v>68764</v>
      </c>
      <c r="G14" s="42">
        <f>Tabela1[PATRIMÔNIO]+Tabela13[PATRIMÔNIO]</f>
        <v>95000.03</v>
      </c>
    </row>
    <row r="15" spans="1:7">
      <c r="A15" s="41">
        <f>VOLATILIDADE!B15</f>
        <v>41395</v>
      </c>
      <c r="B15" s="42">
        <f>Tabela13[PROTEÇÃO MÊS]+Tabela134[PROTEÇÃO MÊS]+Tabela1[PROTEÇÃO MÊS]</f>
        <v>18470.919999999998</v>
      </c>
      <c r="C15" s="3">
        <v>0</v>
      </c>
      <c r="D15" s="43">
        <f t="shared" si="0"/>
        <v>0</v>
      </c>
      <c r="E15" s="42">
        <f t="shared" si="2"/>
        <v>18470.919999999998</v>
      </c>
      <c r="F15" s="42">
        <f>Tabela1[TOT RF]+Tabela13[TOT RF]</f>
        <v>87234.92</v>
      </c>
      <c r="G15" s="42">
        <f>Tabela1[PATRIMÔNIO]+Tabela13[PATRIMÔNIO]</f>
        <v>119188.68</v>
      </c>
    </row>
    <row r="16" spans="1:7">
      <c r="A16" s="41">
        <f>VOLATILIDADE!B16</f>
        <v>41426</v>
      </c>
      <c r="B16" s="42">
        <f>Tabela13[PROTEÇÃO MÊS]+Tabela134[PROTEÇÃO MÊS]+Tabela1[PROTEÇÃO MÊS]</f>
        <v>22343.34</v>
      </c>
      <c r="C16" s="3">
        <v>0</v>
      </c>
      <c r="D16" s="43">
        <f t="shared" si="0"/>
        <v>0</v>
      </c>
      <c r="E16" s="42">
        <f t="shared" si="2"/>
        <v>22343.34</v>
      </c>
      <c r="F16" s="42">
        <f>Tabela1[TOT RF]+Tabela13[TOT RF]</f>
        <v>109578.26000000001</v>
      </c>
      <c r="G16" s="42">
        <f>Tabela1[PATRIMÔNIO]+Tabela13[PATRIMÔNIO]</f>
        <v>148217.85</v>
      </c>
    </row>
    <row r="17" spans="1:7">
      <c r="A17" s="41">
        <f>VOLATILIDADE!B17</f>
        <v>41456</v>
      </c>
      <c r="B17" s="42">
        <f>Tabela13[PROTEÇÃO MÊS]+Tabela134[PROTEÇÃO MÊS]+Tabela1[PROTEÇÃO MÊS]</f>
        <v>26871.440000000002</v>
      </c>
      <c r="C17" s="3">
        <v>0</v>
      </c>
      <c r="D17" s="43">
        <f t="shared" si="0"/>
        <v>0</v>
      </c>
      <c r="E17" s="42">
        <f t="shared" ref="E17:E22" si="3">B17+D17</f>
        <v>26871.440000000002</v>
      </c>
      <c r="F17" s="42">
        <f>Tabela1[TOT RF]+Tabela13[TOT RF]</f>
        <v>136449.70000000001</v>
      </c>
      <c r="G17" s="42">
        <f>Tabela1[PATRIMÔNIO]+Tabela13[PATRIMÔNIO]</f>
        <v>182907.14</v>
      </c>
    </row>
    <row r="18" spans="1:7">
      <c r="A18" s="41">
        <f>VOLATILIDADE!B18</f>
        <v>41487</v>
      </c>
      <c r="B18" s="42">
        <f>Tabela13[PROTEÇÃO MÊS]+Tabela134[PROTEÇÃO MÊS]+Tabela1[PROTEÇÃO MÊS]</f>
        <v>32166.22</v>
      </c>
      <c r="C18" s="3">
        <v>0</v>
      </c>
      <c r="D18" s="43">
        <f t="shared" si="0"/>
        <v>0</v>
      </c>
      <c r="E18" s="42">
        <f t="shared" si="3"/>
        <v>32166.22</v>
      </c>
      <c r="F18" s="42">
        <f>Tabela1[TOT RF]+Tabela13[TOT RF]</f>
        <v>168615.91999999998</v>
      </c>
      <c r="G18" s="42">
        <f>Tabela1[PATRIMÔNIO]+Tabela13[PATRIMÔNIO]</f>
        <v>224214.90999999997</v>
      </c>
    </row>
    <row r="19" spans="1:7">
      <c r="A19" s="41">
        <f>VOLATILIDADE!B19</f>
        <v>41518</v>
      </c>
      <c r="B19" s="42">
        <f>Tabela13[PROTEÇÃO MÊS]+Tabela134[PROTEÇÃO MÊS]+Tabela1[PROTEÇÃO MÊS]</f>
        <v>38357.490000000005</v>
      </c>
      <c r="C19" s="3">
        <v>0</v>
      </c>
      <c r="D19" s="43">
        <f t="shared" si="0"/>
        <v>0</v>
      </c>
      <c r="E19" s="42">
        <f t="shared" si="3"/>
        <v>38357.490000000005</v>
      </c>
      <c r="F19" s="42">
        <f>Tabela1[TOT RF]+Tabela13[TOT RF]</f>
        <v>206973.40999999997</v>
      </c>
      <c r="G19" s="42">
        <f>Tabela1[PATRIMÔNIO]+Tabela13[PATRIMÔNIO]</f>
        <v>273261.77</v>
      </c>
    </row>
    <row r="20" spans="1:7">
      <c r="A20" s="41">
        <f>VOLATILIDADE!B20</f>
        <v>41548</v>
      </c>
      <c r="B20" s="42">
        <f>Tabela13[PROTEÇÃO MÊS]+Tabela134[PROTEÇÃO MÊS]+Tabela1[PROTEÇÃO MÊS]</f>
        <v>45597.02</v>
      </c>
      <c r="C20" s="3">
        <v>0</v>
      </c>
      <c r="D20" s="43">
        <f t="shared" si="0"/>
        <v>0</v>
      </c>
      <c r="E20" s="42">
        <f t="shared" si="3"/>
        <v>45597.02</v>
      </c>
      <c r="F20" s="42">
        <f>Tabela1[TOT RF]+Tabela13[TOT RF]</f>
        <v>252570.43</v>
      </c>
      <c r="G20" s="42">
        <f>Tabela1[PATRIMÔNIO]+Tabela13[PATRIMÔNIO]</f>
        <v>331358.03999999998</v>
      </c>
    </row>
    <row r="21" spans="1:7">
      <c r="A21" s="41">
        <f>VOLATILIDADE!B21</f>
        <v>41579</v>
      </c>
      <c r="B21" s="42">
        <f>Tabela13[PROTEÇÃO MÊS]+Tabela134[PROTEÇÃO MÊS]+Tabela1[PROTEÇÃO MÊS]</f>
        <v>54062.35</v>
      </c>
      <c r="C21" s="3">
        <v>0</v>
      </c>
      <c r="D21" s="43">
        <f t="shared" si="0"/>
        <v>0</v>
      </c>
      <c r="E21" s="42">
        <f t="shared" si="3"/>
        <v>54062.35</v>
      </c>
      <c r="F21" s="42">
        <f>Tabela1[TOT RF]+Tabela13[TOT RF]</f>
        <v>306632.78000000003</v>
      </c>
      <c r="G21" s="42">
        <f>Tabela1[PATRIMÔNIO]+Tabela13[PATRIMÔNIO]</f>
        <v>400035.98</v>
      </c>
    </row>
    <row r="22" spans="1:7">
      <c r="A22" s="41">
        <f>VOLATILIDADE!B22</f>
        <v>41609</v>
      </c>
      <c r="B22" s="42">
        <f>Tabela13[PROTEÇÃO MÊS]+Tabela134[PROTEÇÃO MÊS]+Tabela1[PROTEÇÃO MÊS]</f>
        <v>63960.990000000005</v>
      </c>
      <c r="C22" s="3">
        <v>0</v>
      </c>
      <c r="D22" s="43">
        <f t="shared" si="0"/>
        <v>0</v>
      </c>
      <c r="E22" s="42">
        <f t="shared" si="3"/>
        <v>63960.990000000005</v>
      </c>
      <c r="F22" s="42">
        <f>Tabela1[TOT RF]+Tabela13[TOT RF]</f>
        <v>370593.76999999996</v>
      </c>
      <c r="G22" s="42">
        <f>Tabela1[PATRIMÔNIO]+Tabela13[PATRIMÔNIO]</f>
        <v>481087.22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VOLATILIDADE</vt:lpstr>
      <vt:lpstr>TRAVA</vt:lpstr>
      <vt:lpstr>TENDENCIA</vt:lpstr>
      <vt:lpstr>SETUP</vt:lpstr>
      <vt:lpstr>RESUMO DE PROTEÇÃO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2012-03-16T22:49:23Z</dcterms:created>
  <dcterms:modified xsi:type="dcterms:W3CDTF">2012-06-15T19:52:40Z</dcterms:modified>
</cp:coreProperties>
</file>