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53" i="1"/>
  <c r="J53"/>
  <c r="L53"/>
  <c r="Q53"/>
  <c r="R53"/>
  <c r="S53"/>
  <c r="U53"/>
  <c r="Y53"/>
  <c r="Z53"/>
  <c r="AE53"/>
  <c r="AF53"/>
  <c r="AG53"/>
  <c r="AH53"/>
  <c r="AI53"/>
  <c r="AJ53"/>
  <c r="AK53"/>
  <c r="AL53"/>
  <c r="I52"/>
  <c r="J52"/>
  <c r="L52"/>
  <c r="Q52"/>
  <c r="R52"/>
  <c r="S52"/>
  <c r="U52"/>
  <c r="Y52"/>
  <c r="Z52"/>
  <c r="AE52"/>
  <c r="AF52"/>
  <c r="AG52"/>
  <c r="AH52"/>
  <c r="AI52"/>
  <c r="AJ52"/>
  <c r="AK52"/>
  <c r="AL52"/>
  <c r="I10" i="4"/>
  <c r="J10"/>
  <c r="K10"/>
  <c r="L10"/>
  <c r="H10" s="1"/>
  <c r="M10"/>
  <c r="N10"/>
  <c r="O10"/>
  <c r="P10"/>
  <c r="I9" l="1"/>
  <c r="J9"/>
  <c r="K9"/>
  <c r="L9"/>
  <c r="M9"/>
  <c r="O9"/>
  <c r="H9" l="1"/>
  <c r="N9"/>
  <c r="P9" s="1"/>
  <c r="I51" i="1"/>
  <c r="J51"/>
  <c r="L51"/>
  <c r="Q51"/>
  <c r="R51"/>
  <c r="S51"/>
  <c r="U51"/>
  <c r="Y51"/>
  <c r="Z51"/>
  <c r="AE51"/>
  <c r="AF51"/>
  <c r="AG51"/>
  <c r="AH51"/>
  <c r="AI51"/>
  <c r="AJ51"/>
  <c r="AK51"/>
  <c r="AL51"/>
  <c r="I48"/>
  <c r="J48"/>
  <c r="L48"/>
  <c r="Q48"/>
  <c r="R48"/>
  <c r="S48"/>
  <c r="U48"/>
  <c r="Y48"/>
  <c r="Z48"/>
  <c r="AB48"/>
  <c r="I8" i="4" l="1"/>
  <c r="J8"/>
  <c r="K8"/>
  <c r="L8"/>
  <c r="M8"/>
  <c r="O8"/>
  <c r="J3" i="5"/>
  <c r="K3"/>
  <c r="L3"/>
  <c r="M3"/>
  <c r="N3"/>
  <c r="O3"/>
  <c r="Q3" s="1"/>
  <c r="P3"/>
  <c r="R3"/>
  <c r="S3"/>
  <c r="T3"/>
  <c r="U3"/>
  <c r="V3"/>
  <c r="H8" i="4" l="1"/>
  <c r="N8"/>
  <c r="P8" s="1"/>
  <c r="I5" i="7"/>
  <c r="J5"/>
  <c r="K5"/>
  <c r="L5"/>
  <c r="O5" s="1"/>
  <c r="M5"/>
  <c r="N5"/>
  <c r="I50" i="1" l="1"/>
  <c r="J50"/>
  <c r="L50"/>
  <c r="Q50"/>
  <c r="S50" s="1"/>
  <c r="U50"/>
  <c r="Y50"/>
  <c r="Z50"/>
  <c r="I54"/>
  <c r="J54" s="1"/>
  <c r="L54"/>
  <c r="Q54"/>
  <c r="S54" s="1"/>
  <c r="R54"/>
  <c r="U54"/>
  <c r="Y54"/>
  <c r="Z54"/>
  <c r="AE54"/>
  <c r="AF54"/>
  <c r="AH54" s="1"/>
  <c r="AG54"/>
  <c r="AI54" s="1"/>
  <c r="I47"/>
  <c r="J47"/>
  <c r="L47"/>
  <c r="Q47"/>
  <c r="R47" s="1"/>
  <c r="U47"/>
  <c r="Y47"/>
  <c r="Z47"/>
  <c r="AB47"/>
  <c r="I46"/>
  <c r="J46"/>
  <c r="L46"/>
  <c r="Q46"/>
  <c r="R46" s="1"/>
  <c r="S46"/>
  <c r="U46"/>
  <c r="Y46"/>
  <c r="Z46"/>
  <c r="AA46"/>
  <c r="I2" i="7"/>
  <c r="I3"/>
  <c r="I4"/>
  <c r="M4" s="1"/>
  <c r="K2"/>
  <c r="K3"/>
  <c r="K4"/>
  <c r="N4"/>
  <c r="J4"/>
  <c r="N3"/>
  <c r="J3"/>
  <c r="M3"/>
  <c r="N2"/>
  <c r="J2"/>
  <c r="M2"/>
  <c r="I7" i="4"/>
  <c r="J7"/>
  <c r="K7"/>
  <c r="L7" s="1"/>
  <c r="N7" s="1"/>
  <c r="O7"/>
  <c r="I6"/>
  <c r="J6"/>
  <c r="K6" s="1"/>
  <c r="L6" s="1"/>
  <c r="N6" s="1"/>
  <c r="O6"/>
  <c r="H4" i="6"/>
  <c r="M4" s="1"/>
  <c r="I4"/>
  <c r="N4"/>
  <c r="AJ54" i="1" l="1"/>
  <c r="AK54" s="1"/>
  <c r="AL54" s="1"/>
  <c r="M7" i="4"/>
  <c r="M6"/>
  <c r="R50" i="1"/>
  <c r="K4" i="6"/>
  <c r="J4" s="1"/>
  <c r="L4" s="1"/>
  <c r="S47" i="1"/>
  <c r="H6" i="4"/>
  <c r="H7"/>
  <c r="L2" i="7"/>
  <c r="O2" s="1"/>
  <c r="L3"/>
  <c r="O3" s="1"/>
  <c r="L4"/>
  <c r="O4" s="1"/>
  <c r="O4" i="6"/>
  <c r="P7" i="4" l="1"/>
  <c r="P6"/>
  <c r="H3" i="6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I49" i="1" l="1"/>
  <c r="J49"/>
  <c r="L49"/>
  <c r="Q49"/>
  <c r="R49" s="1"/>
  <c r="S49"/>
  <c r="U49"/>
  <c r="Y49"/>
  <c r="Z49"/>
  <c r="I55"/>
  <c r="J55" s="1"/>
  <c r="L55"/>
  <c r="Y55" s="1"/>
  <c r="Q55"/>
  <c r="S55" s="1"/>
  <c r="R55"/>
  <c r="U55"/>
  <c r="Z55"/>
  <c r="I39"/>
  <c r="J39"/>
  <c r="L39"/>
  <c r="Q39"/>
  <c r="R39" s="1"/>
  <c r="U39"/>
  <c r="Y39"/>
  <c r="Z39"/>
  <c r="AA39"/>
  <c r="I38"/>
  <c r="J38"/>
  <c r="L38"/>
  <c r="Q38"/>
  <c r="R38" s="1"/>
  <c r="S38"/>
  <c r="U38"/>
  <c r="Y38"/>
  <c r="Z38"/>
  <c r="AB38"/>
  <c r="AE38"/>
  <c r="AF38"/>
  <c r="AH38" s="1"/>
  <c r="AG38"/>
  <c r="AI38" s="1"/>
  <c r="AJ38" l="1"/>
  <c r="AK38" s="1"/>
  <c r="AL38" s="1"/>
  <c r="S39"/>
  <c r="I5" i="4"/>
  <c r="J5"/>
  <c r="K5"/>
  <c r="L5" s="1"/>
  <c r="N5" s="1"/>
  <c r="O5"/>
  <c r="I45" i="1"/>
  <c r="J45"/>
  <c r="L45"/>
  <c r="Q45"/>
  <c r="R45"/>
  <c r="S45"/>
  <c r="U45"/>
  <c r="Y45"/>
  <c r="Z45"/>
  <c r="I41"/>
  <c r="J41" s="1"/>
  <c r="L41"/>
  <c r="Q41"/>
  <c r="S41" s="1"/>
  <c r="R41"/>
  <c r="U41"/>
  <c r="Y41"/>
  <c r="Z41"/>
  <c r="I37"/>
  <c r="J37"/>
  <c r="L37"/>
  <c r="Q37"/>
  <c r="R37" s="1"/>
  <c r="U37"/>
  <c r="Y37"/>
  <c r="Z37"/>
  <c r="AB37"/>
  <c r="I36"/>
  <c r="J36"/>
  <c r="L36"/>
  <c r="Y36" s="1"/>
  <c r="Q36"/>
  <c r="R36"/>
  <c r="S36"/>
  <c r="U36"/>
  <c r="Z36"/>
  <c r="AA36"/>
  <c r="AE36"/>
  <c r="AF36"/>
  <c r="AH36" s="1"/>
  <c r="AG36"/>
  <c r="AI36" s="1"/>
  <c r="AJ36" l="1"/>
  <c r="AK36" s="1"/>
  <c r="AL36" s="1"/>
  <c r="H5" i="4"/>
  <c r="M5"/>
  <c r="S37" i="1"/>
  <c r="I4" i="4"/>
  <c r="J4"/>
  <c r="K4" s="1"/>
  <c r="L4" s="1"/>
  <c r="N4" s="1"/>
  <c r="O4"/>
  <c r="H4" l="1"/>
  <c r="M4"/>
  <c r="P5"/>
  <c r="J2" i="5"/>
  <c r="K2"/>
  <c r="L2"/>
  <c r="U2"/>
  <c r="I2" i="4"/>
  <c r="I3"/>
  <c r="O2"/>
  <c r="O3"/>
  <c r="J2"/>
  <c r="J3"/>
  <c r="P4" l="1"/>
  <c r="M2" i="5"/>
  <c r="N2" s="1"/>
  <c r="O2" s="1"/>
  <c r="Q2" s="1"/>
  <c r="F4" i="3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P2" i="5" l="1"/>
  <c r="R2"/>
  <c r="S2"/>
  <c r="T2"/>
  <c r="J3" i="3"/>
  <c r="V2" i="5" l="1"/>
  <c r="K3" i="4"/>
  <c r="L3" s="1"/>
  <c r="N3" s="1"/>
  <c r="H3" l="1"/>
  <c r="M3"/>
  <c r="P3" l="1"/>
  <c r="I43" i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N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H2" i="4" l="1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6"/>
  <c r="G56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52" l="1"/>
  <c r="K53"/>
  <c r="M53"/>
  <c r="N53"/>
  <c r="O53"/>
  <c r="P53"/>
  <c r="M52"/>
  <c r="N52"/>
  <c r="O52"/>
  <c r="P52"/>
  <c r="K48"/>
  <c r="K51"/>
  <c r="M51"/>
  <c r="N51"/>
  <c r="O51"/>
  <c r="P51"/>
  <c r="M48"/>
  <c r="N48"/>
  <c r="O48"/>
  <c r="P48"/>
  <c r="K54"/>
  <c r="K50"/>
  <c r="M50"/>
  <c r="N50"/>
  <c r="O50"/>
  <c r="P50"/>
  <c r="M54"/>
  <c r="N54"/>
  <c r="O54"/>
  <c r="P54"/>
  <c r="K46"/>
  <c r="K47"/>
  <c r="M47"/>
  <c r="N47"/>
  <c r="O47"/>
  <c r="P47"/>
  <c r="M46"/>
  <c r="N46"/>
  <c r="O46"/>
  <c r="P46"/>
  <c r="K55"/>
  <c r="K49"/>
  <c r="M49"/>
  <c r="N49"/>
  <c r="O49"/>
  <c r="P49"/>
  <c r="M55"/>
  <c r="N55"/>
  <c r="O55"/>
  <c r="P55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53" l="1"/>
  <c r="T52"/>
  <c r="T51"/>
  <c r="T48"/>
  <c r="T50"/>
  <c r="T54"/>
  <c r="T47"/>
  <c r="T46"/>
  <c r="T49"/>
  <c r="T55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52" l="1"/>
  <c r="V53"/>
  <c r="V51"/>
  <c r="V48"/>
  <c r="V50"/>
  <c r="V54"/>
  <c r="V47"/>
  <c r="V46"/>
  <c r="V49"/>
  <c r="V55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6"/>
  <c r="V2" l="1"/>
  <c r="W52" l="1"/>
  <c r="X52" s="1"/>
  <c r="W53"/>
  <c r="X53" s="1"/>
  <c r="AB53" s="1"/>
  <c r="W48"/>
  <c r="X48" s="1"/>
  <c r="W51"/>
  <c r="X51" s="1"/>
  <c r="AB51" s="1"/>
  <c r="W54"/>
  <c r="X54" s="1"/>
  <c r="AB54" s="1"/>
  <c r="W50"/>
  <c r="X50" s="1"/>
  <c r="AA50" s="1"/>
  <c r="W46"/>
  <c r="X46" s="1"/>
  <c r="W47"/>
  <c r="X47" s="1"/>
  <c r="W55"/>
  <c r="X55" s="1"/>
  <c r="AB55" s="1"/>
  <c r="W49"/>
  <c r="X49" s="1"/>
  <c r="AA49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52" l="1"/>
  <c r="AA53"/>
  <c r="AC53" s="1"/>
  <c r="AA52"/>
  <c r="AC52" s="1"/>
  <c r="AA51"/>
  <c r="AC51" s="1"/>
  <c r="AA48"/>
  <c r="AC48" s="1"/>
  <c r="AD48" s="1"/>
  <c r="AB50"/>
  <c r="AC50" s="1"/>
  <c r="AA54"/>
  <c r="AC54" s="1"/>
  <c r="AA47"/>
  <c r="AC47" s="1"/>
  <c r="AD47" s="1"/>
  <c r="AB46"/>
  <c r="AC46" s="1"/>
  <c r="AD46" s="1"/>
  <c r="AB49"/>
  <c r="AC49" s="1"/>
  <c r="AA55"/>
  <c r="AC55" s="1"/>
  <c r="AB39"/>
  <c r="AC39" s="1"/>
  <c r="AD39" s="1"/>
  <c r="AA38"/>
  <c r="AC38" s="1"/>
  <c r="AD38" s="1"/>
  <c r="AB45"/>
  <c r="AA41"/>
  <c r="AA45"/>
  <c r="AC45" s="1"/>
  <c r="AB4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41" l="1"/>
  <c r="AC35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52" l="1"/>
  <c r="AD53"/>
  <c r="AD51"/>
  <c r="AD54"/>
  <c r="AD50"/>
  <c r="AD55"/>
  <c r="AD49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8" l="1"/>
  <c r="AG48"/>
  <c r="AI48" s="1"/>
  <c r="AE55"/>
  <c r="AG55"/>
  <c r="AI55" s="1"/>
  <c r="AE50"/>
  <c r="AG50"/>
  <c r="AI50" s="1"/>
  <c r="AE47"/>
  <c r="AG47"/>
  <c r="AI47" s="1"/>
  <c r="AE46"/>
  <c r="AG46"/>
  <c r="AI46" s="1"/>
  <c r="AE41"/>
  <c r="AG41"/>
  <c r="AI41" s="1"/>
  <c r="AE39"/>
  <c r="AG39"/>
  <c r="AI39" s="1"/>
  <c r="AE49"/>
  <c r="AG49"/>
  <c r="AI49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6"/>
  <c r="H56" s="1"/>
  <c r="AG30"/>
  <c r="AI30" s="1"/>
  <c r="AE30"/>
  <c r="AE20"/>
  <c r="AG20"/>
  <c r="AI20" s="1"/>
  <c r="AJ16"/>
  <c r="AK16" s="1"/>
  <c r="AL16" s="1"/>
  <c r="AJ17"/>
  <c r="AK17" s="1"/>
  <c r="AL17" s="1"/>
  <c r="AF48" l="1"/>
  <c r="AH48" s="1"/>
  <c r="AJ48" s="1"/>
  <c r="AK48" s="1"/>
  <c r="AL48" s="1"/>
  <c r="AF55"/>
  <c r="AH55" s="1"/>
  <c r="AJ55" s="1"/>
  <c r="AK55" s="1"/>
  <c r="AL55" s="1"/>
  <c r="AF50"/>
  <c r="AH50" s="1"/>
  <c r="AJ50" s="1"/>
  <c r="AK50" s="1"/>
  <c r="AL50" s="1"/>
  <c r="AF47"/>
  <c r="AH47" s="1"/>
  <c r="AJ47" s="1"/>
  <c r="AK47" s="1"/>
  <c r="AL47" s="1"/>
  <c r="AF46"/>
  <c r="AH46" s="1"/>
  <c r="AJ46" s="1"/>
  <c r="AK46" s="1"/>
  <c r="AL46" s="1"/>
  <c r="AF41"/>
  <c r="AH41" s="1"/>
  <c r="AJ41" s="1"/>
  <c r="AK41" s="1"/>
  <c r="AL41" s="1"/>
  <c r="AF39"/>
  <c r="AH39" s="1"/>
  <c r="AJ39" s="1"/>
  <c r="AK39" s="1"/>
  <c r="AL39" s="1"/>
  <c r="AF49"/>
  <c r="AH49" s="1"/>
  <c r="AJ49" s="1"/>
  <c r="AK49" s="1"/>
  <c r="AL49"/>
  <c r="AF45"/>
  <c r="AH45" s="1"/>
  <c r="AJ45" s="1"/>
  <c r="AK45" s="1"/>
  <c r="AL45" s="1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6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<sst xmlns="http://schemas.openxmlformats.org/spreadsheetml/2006/main" count="328" uniqueCount="127">
  <si>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</si>
  <si>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</si>
  <si>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</si>
  <si>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</si>
  <si>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</si>
  <si>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</si>
  <si>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</si>
  <si>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</si>
  <si>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</si>
  <si>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</si>
  <si>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</si>
  <si>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</si>
  <si>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</si>
  <si>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</si>
  <si>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</si>
  <si>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</si>
  <si>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</si>
  <si>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</si>
  <si>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</si>
  <si>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</si>
  <si>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</si>
  <si>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</si>
  <si>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</si>
  <si>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</si>
  <si>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</si>
  <si>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</si>
  <si>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</si>
  <si>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</si>
  <si>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</si>
  <si>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</si>
  <si>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</si>
  <si>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</si>
  <si>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</si>
  <si>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</si>
  <si>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</si>
  <si>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</si>
  <si>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</si>
  <si>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</si>
  <si>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</si>
  <si>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</si>
  <si>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</si>
  <si>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</si>
  <si>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</si>
  <si>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</si>
  <si>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</si>
  <si>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</si>
  <si>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</si>
  <si>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</si>
  <si>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</si>
  <si>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</si>
  <si>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</si>
  <si>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</si>
  <si>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</si>
  <si>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</si>
  <si>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</si>
  <si>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</si>
  <si>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</si>
  <si>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</si>
  <si>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</si>
  <si>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</si>
  <si>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</si>
  <si>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</si>
  <si>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</si>
  <si>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</si>
  <si>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</si>
  <si>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</si>
  <si>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</si>
  <si>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</si>
  <si>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</si>
  <si>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</si>
  <si>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</si>
  <si>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</si>
  <si>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</si>
  <si>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</si>
  <si>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</si>
  <si>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</si>
  <si>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</si>
  <si>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</si>
  <si>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</si>
  <si>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</si>
  <si>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</si>
  <si>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</si>
  <si>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</si>
  <si>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</si>
  <si>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</si>
  <si>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</si>
  <si>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</si>
  <si>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</si>
  <si>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</si>
  <si>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</si>
  <si>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</si>
  <si>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</si>
  <si>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</si>
  <si>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</si>
  <si>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</si>
  <si>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</si>
  <si>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</si>
  <si>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</si>
  <si>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</si>
  <si>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</si>
  <si>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</si>
  <si>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</si>
  <si>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</si>
  <si>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</si>
  <si>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</si>
  <si>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</si>
  <si>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</si>
  <si>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</si>
  <si>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</si>
  <si>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</si>
  <si>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</si>
  <si>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</si>
  <si>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</si>
  <si>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</si>
  <si>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</si>
  <si>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</si>
  <si>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</si>
  <si>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</si>
  <si>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</si>
  <si>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</si>
  <si>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</si>
  <si>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</si>
  <si>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</si>
  <si>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</si>
  <si>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</si>
  <si>
    <t>PETRG17</t>
  </si>
  <si>
    <t>PETRG18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</si>
</sst>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NumberFormat="1" applyFont="1"/>
    <xf numFmtId="164" fontId="10" fillId="0" borderId="0" xfId="1" applyNumberFormat="1" applyFont="1" applyBorder="1"/>
    <xf numFmtId="0" fontId="10" fillId="0" borderId="0" xfId="1" applyNumberFormat="1" applyFont="1" applyBorder="1"/>
    <xf numFmtId="10" fontId="10" fillId="0" borderId="0" xfId="2" applyNumberFormat="1" applyFont="1" applyBorder="1"/>
    <xf numFmtId="170" fontId="10" fillId="0" borderId="0" xfId="2" applyNumberFormat="1" applyFont="1" applyBorder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64" fontId="10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6" totalsRowCount="1" headerRowDxfId="243" dataDxfId="242" totalsRowDxfId="241">
  <autoFilter ref="A1:AL55"/>
  <sortState ref="A2:AL55">
    <sortCondition ref="E1:E55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5" totalsRowCount="1" headerRowDxfId="202" dataDxfId="201">
  <autoFilter ref="A1:J4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11" totalsRowCount="1" headerRowDxfId="180" dataDxfId="179">
  <autoFilter ref="A1:P10"/>
  <tableColumns count="16">
    <tableColumn id="1" name="PAPEL" totalsRowLabel="Total" dataDxfId="178" totalsRowDxfId="53"/>
    <tableColumn id="10" name="RISCO" dataDxfId="177" totalsRowDxfId="52" dataCellStyle="Moeda"/>
    <tableColumn id="20" name="PREÇO AÇÃO" dataDxfId="176" totalsRowDxfId="51" dataCellStyle="Moeda"/>
    <tableColumn id="7" name="EXERC. VENDA" dataDxfId="175" totalsRowDxfId="50" dataCellStyle="Moeda"/>
    <tableColumn id="8" name="PREÇO VENDA" dataDxfId="174" totalsRowDxfId="49" dataCellStyle="Moeda"/>
    <tableColumn id="2" name="EXERC. COMPRA" dataDxfId="173" totalsRowDxfId="48" dataCellStyle="Moeda"/>
    <tableColumn id="3" name="PREÇO COMPRA" dataDxfId="172" totalsRowDxfId="47" dataCellStyle="Moeda"/>
    <tableColumn id="4" name="VOLUME" dataDxfId="171" totalsRowDxfId="46" dataCellStyle="Moeda">
      <calculatedColumnFormula>([QTDE] * [PREÇO COMPRA]) + ([QTDE] * [PREÇO VENDA])</calculatedColumnFormula>
    </tableColumn>
    <tableColumn id="18" name="LUCRO P/ OPÇÃO" dataDxfId="170" totalsRowDxfId="45" dataCellStyle="Moeda">
      <calculatedColumnFormula>[PREÇO VENDA]-[PREÇO COMPRA]</calculatedColumnFormula>
    </tableColumn>
    <tableColumn id="19" name="PERDA P/ OPÇÃO" dataDxfId="169" totalsRowDxfId="44" dataCellStyle="Moeda">
      <calculatedColumnFormula>(0.01 - [PREÇO COMPRA]) + ([PREÇO VENDA] - ([EXERC. COMPRA]-[EXERC. VENDA]+0.01))</calculatedColumnFormula>
    </tableColumn>
    <tableColumn id="11" name="QTDE TMP" dataDxfId="168" totalsRowDxfId="43" dataCellStyle="Moeda">
      <calculatedColumnFormula>ROUNDDOWN([RISCO]/ABS([PERDA P/ OPÇÃO]), 0)</calculatedColumnFormula>
    </tableColumn>
    <tableColumn id="14" name="QTDE" dataDxfId="167" totalsRowDxfId="42" dataCellStyle="Moeda">
      <calculatedColumnFormula>[QTDE TMP] - MOD([QTDE TMP], 100)</calculatedColumnFormula>
    </tableColumn>
    <tableColumn id="5" name="LUCRO*" dataDxfId="166" totalsRowDxfId="41" dataCellStyle="Moeda">
      <calculatedColumnFormula>([QTDE]*[LUCRO P/ OPÇÃO]) - 60</calculatedColumnFormula>
    </tableColumn>
    <tableColumn id="6" name="PERDA*" dataDxfId="54" totalsRowDxfId="40" dataCellStyle="Moeda">
      <calculatedColumnFormula>[QTDE]*[PERDA P/ OPÇÃO] - 60</calculatedColumnFormula>
    </tableColumn>
    <tableColumn id="21" name="% QUEDA" dataDxfId="165" totalsRowDxfId="39" dataCellStyle="Porcentagem">
      <calculatedColumnFormula>[EXERC. VENDA]/[PREÇO AÇÃO]-1</calculatedColumnFormula>
    </tableColumn>
    <tableColumn id="22" name="RISCO : 1" dataDxfId="164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4" totalsRowCount="1" headerRowDxfId="163" dataDxfId="162">
  <autoFilter ref="A1:V3"/>
  <tableColumns count="22">
    <tableColumn id="1" name="PAPEL" totalsRowLabel="Total" dataDxfId="161" totalsRowDxfId="160"/>
    <tableColumn id="10" name="BASE" dataDxfId="159" totalsRowDxfId="158" dataCellStyle="Moeda"/>
    <tableColumn id="20" name="PR. AÇÃO" dataDxfId="157" totalsRowDxfId="156" dataCellStyle="Moeda"/>
    <tableColumn id="2" name="EX. CP 1" dataDxfId="155" totalsRowDxfId="154" dataCellStyle="Moeda"/>
    <tableColumn id="3" name="PR CP 1" dataDxfId="153" totalsRowDxfId="152" dataCellStyle="Moeda"/>
    <tableColumn id="12" name="EX. VD" dataDxfId="151" totalsRowDxfId="150" dataCellStyle="Moeda"/>
    <tableColumn id="13" name="PR VD" dataDxfId="149" totalsRowDxfId="148" dataCellStyle="Moeda"/>
    <tableColumn id="8" name="EX. CP 2" dataDxfId="147" totalsRowDxfId="146" dataCellStyle="Moeda"/>
    <tableColumn id="7" name="PR CP 2" dataDxfId="145" totalsRowDxfId="144" dataCellStyle="Moeda"/>
    <tableColumn id="18" name="LUCRO UNI." dataDxfId="143" totalsRowDxfId="142" dataCellStyle="Moeda">
      <calculatedColumnFormula>(([PR VD] - 0.01) * 2) + (([EX. VD] - [EX. CP 1] + 0.01) - [PR CP 1]) + (0.01 - [PR CP 2])</calculatedColumnFormula>
    </tableColumn>
    <tableColumn id="19" name="PERDA 1" dataDxfId="141" totalsRowDxfId="140" dataCellStyle="Moeda">
      <calculatedColumnFormula>(0.01 - [PR CP 1]) + (([PR VD] - 0.01) * 2) + (0.01 - [PR CP 2])</calculatedColumnFormula>
    </tableColumn>
    <tableColumn id="15" name="PERDA 2" dataDxfId="139" totalsRowDxfId="138" dataCellStyle="Moeda">
      <calculatedColumnFormula>(([EX. CP 2] - [EX. CP 1] + 0.01) - [PR CP 1]) + (([PR VD] - ([EX. CP 2] - [EX. VD] + 0.01)) * 2) + (0.01 - [PR CP 2])</calculatedColumnFormula>
    </tableColumn>
    <tableColumn id="16" name="PERDA" dataDxfId="137" totalsRowDxfId="136" dataCellStyle="Moeda">
      <calculatedColumnFormula>IF([PERDA 1] &gt; [PERDA 2], [PERDA 2], [PERDA 1])</calculatedColumnFormula>
    </tableColumn>
    <tableColumn id="11" name="QTDE TMP" dataDxfId="135" totalsRowDxfId="134" dataCellStyle="Moeda">
      <calculatedColumnFormula>ROUNDDOWN([BASE]/ABS([PERDA]), 0)</calculatedColumnFormula>
    </tableColumn>
    <tableColumn id="14" name="QTDE" dataDxfId="133" totalsRowDxfId="132" dataCellStyle="Moeda">
      <calculatedColumnFormula>[QTDE TMP] - MOD([QTDE TMP], 100)</calculatedColumnFormula>
    </tableColumn>
    <tableColumn id="4" name="QTDE VD" dataDxfId="131" totalsRowDxfId="130" dataCellStyle="Moeda">
      <calculatedColumnFormula>Tabela245[[#This Row],[QTDE]]*2</calculatedColumnFormula>
    </tableColumn>
    <tableColumn id="17" name="TOT.  CP" dataDxfId="129" totalsRowDxfId="128" dataCellStyle="Moeda">
      <calculatedColumnFormula>([QTDE]*[PR CP 1] + [QTDE]*[PR CP 2])</calculatedColumnFormula>
    </tableColumn>
    <tableColumn id="9" name="T. VD" dataDxfId="127" totalsRowDxfId="126" dataCellStyle="Moeda">
      <calculatedColumnFormula>[QTDE]*[PR VD] * 2</calculatedColumnFormula>
    </tableColumn>
    <tableColumn id="5" name="LUCRO*" dataDxfId="125" totalsRowDxfId="124" dataCellStyle="Moeda">
      <calculatedColumnFormula>([QTDE]*[LUCRO UNI.] - 90)</calculatedColumnFormula>
    </tableColumn>
    <tableColumn id="6" name="PERDA*" dataDxfId="123" totalsRowDxfId="122" dataCellStyle="Moeda">
      <calculatedColumnFormula>[QTDE]*[PERDA] - 90</calculatedColumnFormula>
    </tableColumn>
    <tableColumn id="21" name="% VAR" dataDxfId="121" totalsRowDxfId="120" dataCellStyle="Porcentagem">
      <calculatedColumnFormula>[EX. VD] / [PR. AÇÃO] - 1</calculatedColumnFormula>
    </tableColumn>
    <tableColumn id="22" name="RISCO : 1" dataDxfId="119" totalsRowDxfId="11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7" dataDxfId="116">
  <autoFilter ref="A1:O4"/>
  <tableColumns count="15">
    <tableColumn id="1" name="PAPEL" totalsRowLabel="Total" dataDxfId="115" totalsRowDxfId="114"/>
    <tableColumn id="10" name="RISCO" dataDxfId="113" totalsRowDxfId="112" dataCellStyle="Moeda"/>
    <tableColumn id="20" name="PREÇO AÇÃO" dataDxfId="111" totalsRowDxfId="110" dataCellStyle="Moeda"/>
    <tableColumn id="7" name="EX. VENDA" dataDxfId="109" totalsRowDxfId="108" dataCellStyle="Moeda"/>
    <tableColumn id="2" name="EX. COMPRA" dataDxfId="107" totalsRowDxfId="106" dataCellStyle="Moeda"/>
    <tableColumn id="3" name="PR COMPRA" dataDxfId="105" totalsRowDxfId="104" dataCellStyle="Moeda"/>
    <tableColumn id="16" name="QTDE" dataDxfId="103" totalsRowDxfId="102" dataCellStyle="Moeda"/>
    <tableColumn id="13" name="PERDA P/ OPÇÃO" dataDxfId="101" totalsRowDxfId="100" dataCellStyle="Moeda">
      <calculatedColumnFormula>-[RISCO]/[QTDE]</calculatedColumnFormula>
    </tableColumn>
    <tableColumn id="14" name="CUSTO CP" dataDxfId="99" totalsRowDxfId="98" dataCellStyle="Moeda">
      <calculatedColumnFormula>[PR COMPRA] * [QTDE]</calculatedColumnFormula>
    </tableColumn>
    <tableColumn id="15" name="LUCRO UNI" dataDxfId="97" totalsRowDxfId="96">
      <calculatedColumnFormula>[PR VENDA]-[PR COMPRA]</calculatedColumnFormula>
    </tableColumn>
    <tableColumn id="8" name="PR VENDA" dataDxfId="95" totalsRowDxfId="94" dataCellStyle="Moeda">
      <calculatedColumnFormula>[PERDA P/ OPÇÃO] + ([EX. COMPRA] - [EX. VENDA] + 0.01) - 0.01 + [PR COMPRA]</calculatedColumnFormula>
    </tableColumn>
    <tableColumn id="5" name="LUCRO*" dataDxfId="93" totalsRowDxfId="92" dataCellStyle="Moeda">
      <calculatedColumnFormula>([QTDE]*[LUCRO UNI])</calculatedColumnFormula>
    </tableColumn>
    <tableColumn id="6" name="PERDA*" dataDxfId="91" totalsRowDxfId="90" dataCellStyle="Moeda">
      <calculatedColumnFormula>[PERDA P/ OPÇÃO]*[QTDE]</calculatedColumnFormula>
    </tableColumn>
    <tableColumn id="21" name="% QUEDA" dataDxfId="89" totalsRowDxfId="88" dataCellStyle="Porcentagem">
      <calculatedColumnFormula>[EX. VENDA]/[PREÇO AÇÃO]-1</calculatedColumnFormula>
    </tableColumn>
    <tableColumn id="22" name="RISCO : 1" dataDxfId="87" totalsRowDxfId="8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5" dataDxfId="84">
  <autoFilter ref="A1:O5"/>
  <tableColumns count="15">
    <tableColumn id="1" name="PAPEL" totalsRowLabel="Total" dataDxfId="83" totalsRowDxfId="82"/>
    <tableColumn id="10" name="RISCO" dataDxfId="81" totalsRowDxfId="80" dataCellStyle="Moeda"/>
    <tableColumn id="20" name="PREÇO AÇÃO" dataDxfId="79" totalsRowDxfId="78" dataCellStyle="Moeda"/>
    <tableColumn id="7" name="EX. VENDA" dataDxfId="77" totalsRowDxfId="76" dataCellStyle="Moeda"/>
    <tableColumn id="2" name="EX. COMPRA" dataDxfId="75" totalsRowDxfId="74" dataCellStyle="Moeda"/>
    <tableColumn id="9" name="PR VENDA" totalsRowDxfId="73"/>
    <tableColumn id="3" name="PR COMPRA" dataDxfId="72" totalsRowDxfId="71" dataCellStyle="Moeda"/>
    <tableColumn id="16" name="QTDE" dataDxfId="70" totalsRowDxfId="69" dataCellStyle="Moeda"/>
    <tableColumn id="13" name="PERDA P/ OPÇÃO" dataDxfId="68" totalsRowDxfId="67" dataCellStyle="Moeda">
      <calculatedColumnFormula>([PR VENDA] - ([EX. COMPRA] - [EX. VENDA] + 0.01)) + (0.01 - ([PR COMPRA]))</calculatedColumnFormula>
    </tableColumn>
    <tableColumn id="14" name="VOLUME" dataDxfId="66" totalsRowDxfId="65" dataCellStyle="Moeda">
      <calculatedColumnFormula>[PR COMPRA] * [QTDE]</calculatedColumnFormula>
    </tableColumn>
    <tableColumn id="15" name="LUCRO UNI" dataDxfId="64" totalsRowDxfId="63">
      <calculatedColumnFormula>[PR VENDA]-[PR COMPRA]</calculatedColumnFormula>
    </tableColumn>
    <tableColumn id="5" name="LUCRO*" dataDxfId="62" totalsRowDxfId="61" dataCellStyle="Moeda">
      <calculatedColumnFormula>([QTDE]*[LUCRO UNI])</calculatedColumnFormula>
    </tableColumn>
    <tableColumn id="6" name="PERDA*" dataDxfId="60" totalsRowDxfId="59" dataCellStyle="Moeda">
      <calculatedColumnFormula>[PERDA P/ OPÇÃO]*[QTDE]</calculatedColumnFormula>
    </tableColumn>
    <tableColumn id="21" name="% QUEDA" dataDxfId="58" totalsRowDxfId="57" dataCellStyle="Porcentagem">
      <calculatedColumnFormula>[EX. VENDA]/[PREÇO AÇÃO]-1</calculatedColumnFormula>
    </tableColumn>
    <tableColumn id="22" name="RISCO : 1" dataDxfId="56" totalsRowDxfId="5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7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G51" sqref="G5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110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6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0"/>
      <c r="C28" s="56" t="s">
        <v>70</v>
      </c>
      <c r="D28" s="30" t="s">
        <v>24</v>
      </c>
      <c r="E28" s="31">
        <v>41022</v>
      </c>
      <c r="F28" s="30">
        <v>100</v>
      </c>
      <c r="G28" s="29">
        <v>0.75</v>
      </c>
      <c r="H28" s="30" t="s">
        <v>6</v>
      </c>
      <c r="I28" s="31">
        <f>WORKDAY(NC[[#This Row],[DATA]],1,0)</f>
        <v>41023</v>
      </c>
      <c r="J28" s="32">
        <f>EOMONTH(NC[[#This Row],[DATA DE LIQUIDAÇÃO]],0)</f>
        <v>41029</v>
      </c>
      <c r="K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29">
        <f>[QTDE]*[PREÇO]</f>
        <v>75</v>
      </c>
      <c r="M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29">
        <f>SETUP!$E$3*SUMPRODUCT(N([DATA]=NC[[#This Row],[DATA]]),N([ID]&lt;=NC[[#This Row],[ID]]))</f>
        <v>14.9</v>
      </c>
      <c r="R28" s="29">
        <f>TRUNC([CORRETAGEM]*SETUP!$F$3,2)</f>
        <v>0.28999999999999998</v>
      </c>
      <c r="S28" s="29">
        <f>ROUND([CORRETAGEM]*SETUP!$G$3,2)</f>
        <v>0.57999999999999996</v>
      </c>
      <c r="T28" s="29">
        <f>[VALOR LÍQUIDO DAS OPERAÇÕES]-[TAXA DE LIQUIDAÇÃO]-[EMOLUMENTOS]-[TAXA DE REGISTRO]-[CORRETAGEM]-[ISS]-IF(['[D/N']]="D",    0,    [OUTRAS BOVESPA])</f>
        <v>-90.86</v>
      </c>
      <c r="U28" s="29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3">
        <f>[LÍQUIDO]-SUMPRODUCT(N([DATA]=NC[[#This Row],[DATA]]),N([ID]=(NC[[#This Row],[ID]]-1)),[LÍQUIDO])</f>
        <v>-90.86</v>
      </c>
      <c r="X28" s="29">
        <f>IF([T] = "VC", ABS([VALOR OP]) / [QTDE], [VALOR OP]/[QTDE])</f>
        <v>-0.90859999999999996</v>
      </c>
      <c r="Y28" s="29">
        <f>TRUNC(IF(OR([T]="CV",[T]="VV"),     L28*SETUP!$H$3,     0),2)</f>
        <v>0</v>
      </c>
      <c r="Z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29">
        <f>IF([LUCRO TMP] &lt;&gt; 0, [LUCRO TMP] - SUMPRODUCT(N([ATIVO]=NC[[#This Row],[ATIVO]]),N(['[D/N']]="N"),N([ID]&lt;NC[[#This Row],[ID]]),N([PAR]=NC[[#This Row],[PAR]]), [LUCRO TMP]), 0)</f>
        <v>0</v>
      </c>
      <c r="AE28" s="29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29">
        <f>IF([U] = "U", SUMPRODUCT(N([DATA BASE]=NC[[#This Row],[DATA BASE]]), N(['[D/N']] = "D"),    [LUCRO P/ OP]), 0)</f>
        <v>0</v>
      </c>
      <c r="AH28" s="33">
        <f>IF([ TRIB. '[N']] &gt; 0,     ROUND([ TRIB. '[N']]*0.15,    2),    0)</f>
        <v>0</v>
      </c>
      <c r="AI28" s="33">
        <f>IF([LUCRO TRIB. DT] &gt; 0,     ROUND([LUCRO TRIB. DT]*0.2,    2)  -  SUMPRODUCT(N([DATA BASE]=NC[[#This Row],[DATA BASE]]),    [IRRF FONTE]),    0)</f>
        <v>0</v>
      </c>
      <c r="AJ28" s="35">
        <f>[IR '[N']] + [IR DEVIDO DT]</f>
        <v>0</v>
      </c>
      <c r="AK28" s="33">
        <f>IF(AND([U] = "U",[IR DEVIDO] &gt; 0), [IR DEVIDO] + 8.9, 0)</f>
        <v>0</v>
      </c>
      <c r="AL28" s="33">
        <f>[LUCRO '[N']]  + [LUCRO TRIB. DT] - [RESGATE]</f>
        <v>0</v>
      </c>
    </row>
    <row r="29" spans="1:38" ht="11.25" customHeight="1">
      <c r="A29" s="13">
        <v>28</v>
      </c>
      <c r="B29" s="30"/>
      <c r="C29" s="56" t="s">
        <v>71</v>
      </c>
      <c r="D29" s="30" t="s">
        <v>72</v>
      </c>
      <c r="E29" s="31">
        <v>41022</v>
      </c>
      <c r="F29" s="30">
        <v>100</v>
      </c>
      <c r="G29" s="29">
        <v>1.93</v>
      </c>
      <c r="H29" s="30" t="s">
        <v>6</v>
      </c>
      <c r="I29" s="31">
        <f>WORKDAY(NC[[#This Row],[DATA]],1,0)</f>
        <v>41023</v>
      </c>
      <c r="J29" s="32">
        <f>EOMONTH(NC[[#This Row],[DATA DE LIQUIDAÇÃO]],0)</f>
        <v>41029</v>
      </c>
      <c r="K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29">
        <f>[QTDE]*[PREÇO]</f>
        <v>193</v>
      </c>
      <c r="M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29">
        <f>SETUP!$E$3*SUMPRODUCT(N([DATA]=NC[[#This Row],[DATA]]),N([ID]&lt;=NC[[#This Row],[ID]]))</f>
        <v>29.8</v>
      </c>
      <c r="R29" s="29">
        <f>TRUNC([CORRETAGEM]*SETUP!$F$3,2)</f>
        <v>0.59</v>
      </c>
      <c r="S29" s="29">
        <f>ROUND([CORRETAGEM]*SETUP!$G$3,2)</f>
        <v>1.1599999999999999</v>
      </c>
      <c r="T29" s="29">
        <f>[VALOR LÍQUIDO DAS OPERAÇÕES]-[TAXA DE LIQUIDAÇÃO]-[EMOLUMENTOS]-[TAXA DE REGISTRO]-[CORRETAGEM]-[ISS]-IF(['[D/N']]="D",    0,    [OUTRAS BOVESPA])</f>
        <v>86.11</v>
      </c>
      <c r="U29" s="29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3">
        <f>[LÍQUIDO]-SUMPRODUCT(N([DATA]=NC[[#This Row],[DATA]]),N([ID]=(NC[[#This Row],[ID]]-1)),[LÍQUIDO])</f>
        <v>176.97</v>
      </c>
      <c r="X29" s="29">
        <f>IF([T] = "VC", ABS([VALOR OP]) / [QTDE], [VALOR OP]/[QTDE])</f>
        <v>1.7697000000000001</v>
      </c>
      <c r="Y29" s="29">
        <f>TRUNC(IF(OR([T]="CV",[T]="VV"),     L29*SETUP!$H$3,     0),2)</f>
        <v>0</v>
      </c>
      <c r="Z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29">
        <f>IF([LUCRO TMP] &lt;&gt; 0, [LUCRO TMP] - SUMPRODUCT(N([ATIVO]=NC[[#This Row],[ATIVO]]),N(['[D/N']]="N"),N([ID]&lt;NC[[#This Row],[ID]]),N([PAR]=NC[[#This Row],[PAR]]), [LUCRO TMP]), 0)</f>
        <v>0</v>
      </c>
      <c r="AE29" s="29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29">
        <f>IF([U] = "U", SUMPRODUCT(N([DATA BASE]=NC[[#This Row],[DATA BASE]]), N(['[D/N']] = "D"),    [LUCRO P/ OP]), 0)</f>
        <v>0</v>
      </c>
      <c r="AH29" s="33">
        <f>IF([ TRIB. '[N']] &gt; 0,     ROUND([ TRIB. '[N']]*0.15,    2),    0)</f>
        <v>0</v>
      </c>
      <c r="AI29" s="33">
        <f>IF([LUCRO TRIB. DT] &gt; 0,     ROUND([LUCRO TRIB. DT]*0.2,    2)  -  SUMPRODUCT(N([DATA BASE]=NC[[#This Row],[DATA BASE]]),    [IRRF FONTE]),    0)</f>
        <v>0</v>
      </c>
      <c r="AJ29" s="35">
        <f>[IR '[N']] + [IR DEVIDO DT]</f>
        <v>0</v>
      </c>
      <c r="AK29" s="33">
        <f>IF(AND([U] = "U",[IR DEVIDO] &gt; 0), [IR DEVIDO] + 8.9, 0)</f>
        <v>0</v>
      </c>
      <c r="AL29" s="33">
        <f>[LUCRO '[N']]  + [LUCRO TRIB. DT] - [RESGATE]</f>
        <v>0</v>
      </c>
    </row>
    <row r="30" spans="1:38" ht="11.25" customHeight="1">
      <c r="A30" s="13">
        <v>29</v>
      </c>
      <c r="B30" s="30" t="s">
        <v>53</v>
      </c>
      <c r="C30" s="30" t="s">
        <v>65</v>
      </c>
      <c r="D30" s="30" t="s">
        <v>24</v>
      </c>
      <c r="E30" s="31">
        <v>41026</v>
      </c>
      <c r="F30" s="30">
        <v>300</v>
      </c>
      <c r="G30" s="29">
        <v>0.32</v>
      </c>
      <c r="H30" s="30" t="s">
        <v>6</v>
      </c>
      <c r="I30" s="31">
        <f>WORKDAY(NC[[#This Row],[DATA]],1,0)</f>
        <v>41029</v>
      </c>
      <c r="J30" s="32">
        <f>EOMONTH(NC[[#This Row],[DATA DE LIQUIDAÇÃO]],0)</f>
        <v>41029</v>
      </c>
      <c r="K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29">
        <f>[QTDE]*[PREÇO]</f>
        <v>96</v>
      </c>
      <c r="M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29">
        <f>SETUP!$E$3*SUMPRODUCT(N([DATA]=NC[[#This Row],[DATA]]),N([ID]&lt;=NC[[#This Row],[ID]]))</f>
        <v>14.9</v>
      </c>
      <c r="R30" s="29">
        <f>TRUNC([CORRETAGEM]*SETUP!$F$3,2)</f>
        <v>0.28999999999999998</v>
      </c>
      <c r="S30" s="29">
        <f>ROUND([CORRETAGEM]*SETUP!$G$3,2)</f>
        <v>0.57999999999999996</v>
      </c>
      <c r="T30" s="29">
        <f>[VALOR LÍQUIDO DAS OPERAÇÕES]-[TAXA DE LIQUIDAÇÃO]-[EMOLUMENTOS]-[TAXA DE REGISTRO]-[CORRETAGEM]-[ISS]-IF(['[D/N']]="D",    0,    [OUTRAS BOVESPA])</f>
        <v>-111.88000000000001</v>
      </c>
      <c r="U30" s="29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3">
        <f>[LÍQUIDO]-SUMPRODUCT(N([DATA]=NC[[#This Row],[DATA]]),N([ID]=(NC[[#This Row],[ID]]-1)),[LÍQUIDO])</f>
        <v>-111.88000000000001</v>
      </c>
      <c r="X30" s="29">
        <f>IF([T] = "VC", ABS([VALOR OP]) / [QTDE], [VALOR OP]/[QTDE])</f>
        <v>-0.37293333333333334</v>
      </c>
      <c r="Y30" s="29">
        <f>TRUNC(IF(OR([T]="CV",[T]="VV"),     L30*SETUP!$H$3,     0),2)</f>
        <v>0</v>
      </c>
      <c r="Z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29">
        <f>IF([LUCRO TMP] &lt;&gt; 0, [LUCRO TMP] - SUMPRODUCT(N([ATIVO]=NC[[#This Row],[ATIVO]]),N(['[D/N']]="N"),N([ID]&lt;NC[[#This Row],[ID]]),N([PAR]=NC[[#This Row],[PAR]]), [LUCRO TMP]), 0)</f>
        <v>0</v>
      </c>
      <c r="AE30" s="29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29">
        <f>IF([U] = "U", SUMPRODUCT(N([DATA BASE]=NC[[#This Row],[DATA BASE]]), N(['[D/N']] = "D"),    [LUCRO P/ OP]), 0)</f>
        <v>0</v>
      </c>
      <c r="AH30" s="33">
        <f>IF([ TRIB. '[N']] &gt; 0,     ROUND([ TRIB. '[N']]*0.15,    2),    0)</f>
        <v>0</v>
      </c>
      <c r="AI30" s="33">
        <f>IF([LUCRO TRIB. DT] &gt; 0,     ROUND([LUCRO TRIB. DT]*0.2,    2)  -  SUMPRODUCT(N([DATA BASE]=NC[[#This Row],[DATA BASE]]),    [IRRF FONTE]),    0)</f>
        <v>0</v>
      </c>
      <c r="AJ30" s="35">
        <f>[IR '[N']] + [IR DEVIDO DT]</f>
        <v>0</v>
      </c>
      <c r="AK30" s="33">
        <f>IF(AND([U] = "U",[IR DEVIDO] &gt; 0), [IR DEVIDO] + 8.9, 0)</f>
        <v>0</v>
      </c>
      <c r="AL30" s="33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56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56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56" t="s">
        <v>71</v>
      </c>
      <c r="D35" s="30" t="s">
        <v>73</v>
      </c>
      <c r="E35" s="31">
        <v>41043</v>
      </c>
      <c r="F35" s="30">
        <v>100</v>
      </c>
      <c r="G35" s="29">
        <v>7.0000000000000007E-2</v>
      </c>
      <c r="H35" s="30" t="s">
        <v>6</v>
      </c>
      <c r="I35" s="31">
        <f>WORKDAY(NC[[#This Row],[DATA]],1,0)</f>
        <v>41044</v>
      </c>
      <c r="J35" s="32">
        <f>EOMONTH(NC[[#This Row],[DATA DE LIQUIDAÇÃO]],0)</f>
        <v>41060</v>
      </c>
      <c r="K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29">
        <f>[QTDE]*[PREÇO]</f>
        <v>7.0000000000000009</v>
      </c>
      <c r="M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29">
        <f>SETUP!$E$3*SUMPRODUCT(N([DATA]=NC[[#This Row],[DATA]]),N([ID]&lt;=NC[[#This Row],[ID]]))</f>
        <v>14.9</v>
      </c>
      <c r="R35" s="29">
        <f>TRUNC([CORRETAGEM]*SETUP!$F$3,2)</f>
        <v>0.28999999999999998</v>
      </c>
      <c r="S35" s="29">
        <f>ROUND([CORRETAGEM]*SETUP!$G$3,2)</f>
        <v>0.57999999999999996</v>
      </c>
      <c r="T35" s="29">
        <f>[VALOR LÍQUIDO DAS OPERAÇÕES]-[TAXA DE LIQUIDAÇÃO]-[EMOLUMENTOS]-[TAXA DE REGISTRO]-[CORRETAGEM]-[ISS]-IF(['[D/N']]="D",    0,    [OUTRAS BOVESPA])</f>
        <v>-22.77</v>
      </c>
      <c r="U35" s="29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3">
        <f>[LÍQUIDO]-SUMPRODUCT(N([DATA]=NC[[#This Row],[DATA]]),N([ID]=(NC[[#This Row],[ID]]-1)),[LÍQUIDO])</f>
        <v>-22.77</v>
      </c>
      <c r="X35" s="29">
        <f>IF([T] = "VC", ABS([VALOR OP]) / [QTDE], [VALOR OP]/[QTDE])</f>
        <v>0.22769999999999999</v>
      </c>
      <c r="Y35" s="29">
        <f>TRUNC(IF(OR([T]="CV",[T]="VV"),     L35*SETUP!$H$3,     0),2)</f>
        <v>0</v>
      </c>
      <c r="Z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29">
        <f>IF([LUCRO TMP] &lt;&gt; 0, [LUCRO TMP] - SUMPRODUCT(N([ATIVO]=NC[[#This Row],[ATIVO]]),N(['[D/N']]="N"),N([ID]&lt;NC[[#This Row],[ID]]),N([PAR]=NC[[#This Row],[PAR]]), [LUCRO TMP]), 0)</f>
        <v>154.20000000000002</v>
      </c>
      <c r="AE35" s="29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29">
        <f>IF([U] = "U", SUMPRODUCT(N([DATA BASE]=NC[[#This Row],[DATA BASE]]), N(['[D/N']] = "D"),    [LUCRO P/ OP]), 0)</f>
        <v>0</v>
      </c>
      <c r="AH35" s="33">
        <f>IF([ TRIB. '[N']] &gt; 0,     ROUND([ TRIB. '[N']]*0.15,    2),    0)</f>
        <v>0</v>
      </c>
      <c r="AI35" s="33">
        <f>IF([LUCRO TRIB. DT] &gt; 0,     ROUND([LUCRO TRIB. DT]*0.2,    2)  -  SUMPRODUCT(N([DATA BASE]=NC[[#This Row],[DATA BASE]]),    [IRRF FONTE]),    0)</f>
        <v>0</v>
      </c>
      <c r="AJ35" s="35">
        <f>[IR '[N']] + [IR DEVIDO DT]</f>
        <v>0</v>
      </c>
      <c r="AK35" s="33">
        <f>IF(AND([U] = "U",[IR DEVIDO] &gt; 0), [IR DEVIDO] + 8.9, 0)</f>
        <v>0</v>
      </c>
      <c r="AL35" s="33">
        <f>[LUCRO '[N']]  + [LUCRO TRIB. DT] - [RESGATE]</f>
        <v>0</v>
      </c>
    </row>
    <row r="36" spans="1:38">
      <c r="A36" s="13">
        <v>35</v>
      </c>
      <c r="B36" s="43"/>
      <c r="C36" s="56" t="s">
        <v>96</v>
      </c>
      <c r="D36" s="43" t="s">
        <v>72</v>
      </c>
      <c r="E36" s="44">
        <v>41043</v>
      </c>
      <c r="F36" s="43">
        <v>900</v>
      </c>
      <c r="G36" s="42">
        <v>1.02</v>
      </c>
      <c r="H36" s="43" t="s">
        <v>6</v>
      </c>
      <c r="I36" s="44">
        <f>WORKDAY(NC[[#This Row],[DATA]],1,0)</f>
        <v>41044</v>
      </c>
      <c r="J36" s="45">
        <f>EOMONTH(NC[[#This Row],[DATA DE LIQUIDAÇÃO]],0)</f>
        <v>41060</v>
      </c>
      <c r="K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2">
        <f>[QTDE]*[PREÇO]</f>
        <v>918</v>
      </c>
      <c r="M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2">
        <f>SETUP!$E$3*SUMPRODUCT(N([DATA]=NC[[#This Row],[DATA]]),N([ID]&lt;=NC[[#This Row],[ID]]))</f>
        <v>29.8</v>
      </c>
      <c r="R36" s="42">
        <f>TRUNC([CORRETAGEM]*SETUP!$F$3,2)</f>
        <v>0.59</v>
      </c>
      <c r="S36" s="42">
        <f>ROUND([CORRETAGEM]*SETUP!$G$3,2)</f>
        <v>1.1599999999999999</v>
      </c>
      <c r="T36" s="42">
        <f>[VALOR LÍQUIDO DAS OPERAÇÕES]-[TAXA DE LIQUIDAÇÃO]-[EMOLUMENTOS]-[TAXA DE REGISTRO]-[CORRETAGEM]-[ISS]-IF(['[D/N']]="D",    0,    [OUTRAS BOVESPA])</f>
        <v>878.22</v>
      </c>
      <c r="U36" s="42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46">
        <f>[LÍQUIDO]-SUMPRODUCT(N([DATA]=NC[[#This Row],[DATA]]),N([ID]=(NC[[#This Row],[ID]]-1)),[LÍQUIDO])</f>
        <v>900.99</v>
      </c>
      <c r="X36" s="42">
        <f>IF([T] = "VC", ABS([VALOR OP]) / [QTDE], [VALOR OP]/[QTDE])</f>
        <v>1.0011000000000001</v>
      </c>
      <c r="Y36" s="42">
        <f>TRUNC(IF(OR([T]="CV",[T]="VV"),     L36*SETUP!$H$3,     0),2)</f>
        <v>0.04</v>
      </c>
      <c r="Z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2">
        <f>IF([LUCRO TMP] &lt;&gt; 0, [LUCRO TMP] - SUMPRODUCT(N([ATIVO]=NC[[#This Row],[ATIVO]]),N(['[D/N']]="N"),N([ID]&lt;NC[[#This Row],[ID]]),N([PAR]=NC[[#This Row],[PAR]]), [LUCRO TMP]), 0)</f>
        <v>0</v>
      </c>
      <c r="AE36" s="42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2">
        <f>IF([U] = "U", SUMPRODUCT(N([DATA BASE]=NC[[#This Row],[DATA BASE]]), N(['[D/N']] = "D"),    [LUCRO P/ OP]), 0)</f>
        <v>0</v>
      </c>
      <c r="AH36" s="46">
        <f>IF([ TRIB. '[N']] &gt; 0,     ROUND([ TRIB. '[N']]*0.15,    2),    0)</f>
        <v>0</v>
      </c>
      <c r="AI36" s="46">
        <f>IF([LUCRO TRIB. DT] &gt; 0,     ROUND([LUCRO TRIB. DT]*0.2,    2)  -  SUMPRODUCT(N([DATA BASE]=NC[[#This Row],[DATA BASE]]),    [IRRF FONTE]),    0)</f>
        <v>0</v>
      </c>
      <c r="AJ36" s="49">
        <f>[IR '[N']] + [IR DEVIDO DT]</f>
        <v>0</v>
      </c>
      <c r="AK36" s="46">
        <f>IF(AND([U] = "U",[IR DEVIDO] &gt; 0), [IR DEVIDO] + 8.9, 0)</f>
        <v>0</v>
      </c>
      <c r="AL36" s="46">
        <f>[LUCRO '[N']]  + [LUCRO TRIB. DT] - [RESGATE]</f>
        <v>0</v>
      </c>
    </row>
    <row r="37" spans="1:38">
      <c r="A37" s="13">
        <v>36</v>
      </c>
      <c r="B37" s="43"/>
      <c r="C37" s="56" t="s">
        <v>91</v>
      </c>
      <c r="D37" s="43" t="s">
        <v>24</v>
      </c>
      <c r="E37" s="44">
        <v>41043</v>
      </c>
      <c r="F37" s="43">
        <v>900</v>
      </c>
      <c r="G37" s="42">
        <v>0.5</v>
      </c>
      <c r="H37" s="43" t="s">
        <v>6</v>
      </c>
      <c r="I37" s="44">
        <f>WORKDAY(NC[[#This Row],[DATA]],1,0)</f>
        <v>41044</v>
      </c>
      <c r="J37" s="45">
        <f>EOMONTH(NC[[#This Row],[DATA DE LIQUIDAÇÃO]],0)</f>
        <v>41060</v>
      </c>
      <c r="K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2">
        <f>[QTDE]*[PREÇO]</f>
        <v>450</v>
      </c>
      <c r="M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2">
        <f>SETUP!$E$3*SUMPRODUCT(N([DATA]=NC[[#This Row],[DATA]]),N([ID]&lt;=NC[[#This Row],[ID]]))</f>
        <v>44.7</v>
      </c>
      <c r="R37" s="42">
        <f>TRUNC([CORRETAGEM]*SETUP!$F$3,2)</f>
        <v>0.89</v>
      </c>
      <c r="S37" s="42">
        <f>ROUND([CORRETAGEM]*SETUP!$G$3,2)</f>
        <v>1.74</v>
      </c>
      <c r="T37" s="42">
        <f>[VALOR LÍQUIDO DAS OPERAÇÕES]-[TAXA DE LIQUIDAÇÃO]-[EMOLUMENTOS]-[TAXA DE REGISTRO]-[CORRETAGEM]-[ISS]-IF(['[D/N']]="D",    0,    [OUTRAS BOVESPA])</f>
        <v>411.85</v>
      </c>
      <c r="U37" s="42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46">
        <f>[LÍQUIDO]-SUMPRODUCT(N([DATA]=NC[[#This Row],[DATA]]),N([ID]=(NC[[#This Row],[ID]]-1)),[LÍQUIDO])</f>
        <v>-466.37</v>
      </c>
      <c r="X37" s="42">
        <f>IF([T] = "VC", ABS([VALOR OP]) / [QTDE], [VALOR OP]/[QTDE])</f>
        <v>-0.51818888888888892</v>
      </c>
      <c r="Y37" s="42">
        <f>TRUNC(IF(OR([T]="CV",[T]="VV"),     L37*SETUP!$H$3,     0),2)</f>
        <v>0</v>
      </c>
      <c r="Z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2">
        <f>IF([LUCRO TMP] &lt;&gt; 0, [LUCRO TMP] - SUMPRODUCT(N([ATIVO]=NC[[#This Row],[ATIVO]]),N(['[D/N']]="N"),N([ID]&lt;NC[[#This Row],[ID]]),N([PAR]=NC[[#This Row],[PAR]]), [LUCRO TMP]), 0)</f>
        <v>0</v>
      </c>
      <c r="AE37" s="42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2">
        <f>IF([U] = "U", SUMPRODUCT(N([DATA BASE]=NC[[#This Row],[DATA BASE]]), N(['[D/N']] = "D"),    [LUCRO P/ OP]), 0)</f>
        <v>0</v>
      </c>
      <c r="AH37" s="46">
        <f>IF([ TRIB. '[N']] &gt; 0,     ROUND([ TRIB. '[N']]*0.15,    2),    0)</f>
        <v>0</v>
      </c>
      <c r="AI37" s="46">
        <f>IF([LUCRO TRIB. DT] &gt; 0,     ROUND([LUCRO TRIB. DT]*0.2,    2)  -  SUMPRODUCT(N([DATA BASE]=NC[[#This Row],[DATA BASE]]),    [IRRF FONTE]),    0)</f>
        <v>0</v>
      </c>
      <c r="AJ37" s="49">
        <f>[IR '[N']] + [IR DEVIDO DT]</f>
        <v>0</v>
      </c>
      <c r="AK37" s="46">
        <f>IF(AND([U] = "U",[IR DEVIDO] &gt; 0), [IR DEVIDO] + 8.9, 0)</f>
        <v>0</v>
      </c>
      <c r="AL37" s="46">
        <f>[LUCRO '[N']]  + [LUCRO TRIB. DT] - [RESGATE]</f>
        <v>0</v>
      </c>
    </row>
    <row r="38" spans="1:38">
      <c r="A38" s="13">
        <v>37</v>
      </c>
      <c r="B38" s="13"/>
      <c r="C38" s="56" t="s">
        <v>111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57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56" t="s">
        <v>112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57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56" t="s">
        <v>86</v>
      </c>
      <c r="D40" s="13" t="s">
        <v>73</v>
      </c>
      <c r="E40" s="31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3"/>
      <c r="C41" s="56" t="s">
        <v>96</v>
      </c>
      <c r="D41" s="43" t="s">
        <v>73</v>
      </c>
      <c r="E41" s="44">
        <v>41047</v>
      </c>
      <c r="F41" s="43">
        <v>900</v>
      </c>
      <c r="G41" s="42">
        <v>0.04</v>
      </c>
      <c r="H41" s="43" t="s">
        <v>6</v>
      </c>
      <c r="I41" s="44">
        <f>WORKDAY(NC[[#This Row],[DATA]],1,0)</f>
        <v>41050</v>
      </c>
      <c r="J41" s="45">
        <f>EOMONTH(NC[[#This Row],[DATA DE LIQUIDAÇÃO]],0)</f>
        <v>41060</v>
      </c>
      <c r="K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2">
        <f>[QTDE]*[PREÇO]</f>
        <v>36</v>
      </c>
      <c r="M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2">
        <f>SETUP!$E$3*SUMPRODUCT(N([DATA]=NC[[#This Row],[DATA]]),N([ID]&lt;=NC[[#This Row],[ID]]))</f>
        <v>29.8</v>
      </c>
      <c r="R41" s="42">
        <f>TRUNC([CORRETAGEM]*SETUP!$F$3,2)</f>
        <v>0.59</v>
      </c>
      <c r="S41" s="42">
        <f>ROUND([CORRETAGEM]*SETUP!$G$3,2)</f>
        <v>1.1599999999999999</v>
      </c>
      <c r="T41" s="42">
        <f>[VALOR LÍQUIDO DAS OPERAÇÕES]-[TAXA DE LIQUIDAÇÃO]-[EMOLUMENTOS]-[TAXA DE REGISTRO]-[CORRETAGEM]-[ISS]-IF(['[D/N']]="D",    0,    [OUTRAS BOVESPA])</f>
        <v>-96.62</v>
      </c>
      <c r="U41" s="42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46">
        <f>[LÍQUIDO]-SUMPRODUCT(N([DATA]=NC[[#This Row],[DATA]]),N([ID]=(NC[[#This Row],[ID]]-1)),[LÍQUIDO])</f>
        <v>-51.820000000000007</v>
      </c>
      <c r="X41" s="42">
        <f>IF([T] = "VC", ABS([VALOR OP]) / [QTDE], [VALOR OP]/[QTDE])</f>
        <v>5.7577777777777783E-2</v>
      </c>
      <c r="Y41" s="42">
        <f>TRUNC(IF(OR([T]="CV",[T]="VV"),     L41*SETUP!$H$3,     0),2)</f>
        <v>0</v>
      </c>
      <c r="Z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2">
        <f>IF([LUCRO TMP] &lt;&gt; 0, [LUCRO TMP] - SUMPRODUCT(N([ATIVO]=NC[[#This Row],[ATIVO]]),N(['[D/N']]="N"),N([ID]&lt;NC[[#This Row],[ID]]),N([PAR]=NC[[#This Row],[PAR]]), [LUCRO TMP]), 0)</f>
        <v>849.17000000000019</v>
      </c>
      <c r="AE41" s="42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2">
        <f>IF([U] = "U", SUMPRODUCT(N([DATA BASE]=NC[[#This Row],[DATA BASE]]), N(['[D/N']] = "D"),    [LUCRO P/ OP]), 0)</f>
        <v>0</v>
      </c>
      <c r="AH41" s="46">
        <f>IF([ TRIB. '[N']] &gt; 0,     ROUND([ TRIB. '[N']]*0.15,    2),    0)</f>
        <v>0</v>
      </c>
      <c r="AI41" s="46">
        <f>IF([LUCRO TRIB. DT] &gt; 0,     ROUND([LUCRO TRIB. DT]*0.2,    2)  -  SUMPRODUCT(N([DATA BASE]=NC[[#This Row],[DATA BASE]]),    [IRRF FONTE]),    0)</f>
        <v>0</v>
      </c>
      <c r="AJ41" s="49">
        <f>[IR '[N']] + [IR DEVIDO DT]</f>
        <v>0</v>
      </c>
      <c r="AK41" s="46">
        <f>IF(AND([U] = "U",[IR DEVIDO] &gt; 0), [IR DEVIDO] + 8.9, 0)</f>
        <v>0</v>
      </c>
      <c r="AL41" s="46">
        <f>[LUCRO '[N']]  + [LUCRO TRIB. DT] - [RESGATE]</f>
        <v>0</v>
      </c>
    </row>
    <row r="42" spans="1:38">
      <c r="A42" s="13">
        <v>41</v>
      </c>
      <c r="B42" s="30"/>
      <c r="C42" s="56" t="s">
        <v>70</v>
      </c>
      <c r="D42" s="30" t="s">
        <v>25</v>
      </c>
      <c r="E42" s="31">
        <v>41050</v>
      </c>
      <c r="F42" s="30">
        <v>100</v>
      </c>
      <c r="G42" s="29">
        <v>0</v>
      </c>
      <c r="H42" s="30" t="s">
        <v>6</v>
      </c>
      <c r="I42" s="31">
        <f>WORKDAY(NC[[#This Row],[DATA]],1,0)</f>
        <v>41051</v>
      </c>
      <c r="J42" s="32">
        <f>EOMONTH(NC[[#This Row],[DATA DE LIQUIDAÇÃO]],0)</f>
        <v>41060</v>
      </c>
      <c r="K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29">
        <f>[QTDE]*[PREÇO]</f>
        <v>0</v>
      </c>
      <c r="M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29">
        <f>SETUP!$E$3*SUMPRODUCT(N([DATA]=NC[[#This Row],[DATA]]),N([ID]&lt;=NC[[#This Row],[ID]]))</f>
        <v>14.9</v>
      </c>
      <c r="R42" s="29">
        <f>TRUNC([CORRETAGEM]*SETUP!$F$3,2)</f>
        <v>0.28999999999999998</v>
      </c>
      <c r="S42" s="29">
        <f>ROUND([CORRETAGEM]*SETUP!$G$3,2)</f>
        <v>0.57999999999999996</v>
      </c>
      <c r="T42" s="29">
        <f>[VALOR LÍQUIDO DAS OPERAÇÕES]-[TAXA DE LIQUIDAÇÃO]-[EMOLUMENTOS]-[TAXA DE REGISTRO]-[CORRETAGEM]-[ISS]-IF(['[D/N']]="D",    0,    [OUTRAS BOVESPA])</f>
        <v>-15.77</v>
      </c>
      <c r="U42" s="29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3">
        <f>[LÍQUIDO]-SUMPRODUCT(N([DATA]=NC[[#This Row],[DATA]]),N([ID]=(NC[[#This Row],[ID]]-1)),[LÍQUIDO])</f>
        <v>0</v>
      </c>
      <c r="X42" s="29">
        <f>IF([T] = "VC", ABS([VALOR OP]) / [QTDE], [VALOR OP]/[QTDE])</f>
        <v>0</v>
      </c>
      <c r="Y42" s="29">
        <f>TRUNC(IF(OR([T]="CV",[T]="VV"),     L42*SETUP!$H$3,     0),2)</f>
        <v>0</v>
      </c>
      <c r="Z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29">
        <f>IF([LUCRO TMP] &lt;&gt; 0, [LUCRO TMP] - SUMPRODUCT(N([ATIVO]=NC[[#This Row],[ATIVO]]),N(['[D/N']]="N"),N([ID]&lt;NC[[#This Row],[ID]]),N([PAR]=NC[[#This Row],[PAR]]), [LUCRO TMP]), 0)</f>
        <v>-90.86</v>
      </c>
      <c r="AE42" s="29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29">
        <f>IF([U] = "U", SUMPRODUCT(N([DATA BASE]=NC[[#This Row],[DATA BASE]]), N(['[D/N']] = "D"),    [LUCRO P/ OP]), 0)</f>
        <v>0</v>
      </c>
      <c r="AH42" s="33">
        <f>IF([ TRIB. '[N']] &gt; 0,     ROUND([ TRIB. '[N']]*0.15,    2),    0)</f>
        <v>0</v>
      </c>
      <c r="AI42" s="33">
        <f>IF([LUCRO TRIB. DT] &gt; 0,     ROUND([LUCRO TRIB. DT]*0.2,    2)  -  SUMPRODUCT(N([DATA BASE]=NC[[#This Row],[DATA BASE]]),    [IRRF FONTE]),    0)</f>
        <v>0</v>
      </c>
      <c r="AJ42" s="35">
        <f>[IR '[N']] + [IR DEVIDO DT]</f>
        <v>0</v>
      </c>
      <c r="AK42" s="33">
        <f>IF(AND([U] = "U",[IR DEVIDO] &gt; 0), [IR DEVIDO] + 8.9, 0)</f>
        <v>0</v>
      </c>
      <c r="AL42" s="33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56" t="s">
        <v>85</v>
      </c>
      <c r="D44" s="13" t="s">
        <v>25</v>
      </c>
      <c r="E44" s="14">
        <v>41050</v>
      </c>
      <c r="F44" s="13">
        <v>100</v>
      </c>
      <c r="G44" s="29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3"/>
      <c r="C45" s="56" t="s">
        <v>91</v>
      </c>
      <c r="D45" s="43" t="s">
        <v>25</v>
      </c>
      <c r="E45" s="14">
        <v>41050</v>
      </c>
      <c r="F45" s="43">
        <v>900</v>
      </c>
      <c r="G45" s="42">
        <v>0</v>
      </c>
      <c r="H45" s="43" t="s">
        <v>6</v>
      </c>
      <c r="I45" s="44">
        <f>WORKDAY(NC[[#This Row],[DATA]],1,0)</f>
        <v>41051</v>
      </c>
      <c r="J45" s="45">
        <f>EOMONTH(NC[[#This Row],[DATA DE LIQUIDAÇÃO]],0)</f>
        <v>41060</v>
      </c>
      <c r="K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2">
        <f>[QTDE]*[PREÇO]</f>
        <v>0</v>
      </c>
      <c r="M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2">
        <f>SETUP!$E$3*SUMPRODUCT(N([DATA]=NC[[#This Row],[DATA]]),N([ID]&lt;=NC[[#This Row],[ID]]))</f>
        <v>59.6</v>
      </c>
      <c r="R45" s="42">
        <f>TRUNC([CORRETAGEM]*SETUP!$F$3,2)</f>
        <v>1.19</v>
      </c>
      <c r="S45" s="42">
        <f>ROUND([CORRETAGEM]*SETUP!$G$3,2)</f>
        <v>2.3199999999999998</v>
      </c>
      <c r="T45" s="42">
        <f>[VALOR LÍQUIDO DAS OPERAÇÕES]-[TAXA DE LIQUIDAÇÃO]-[EMOLUMENTOS]-[TAXA DE REGISTRO]-[CORRETAGEM]-[ISS]-IF(['[D/N']]="D",    0,    [OUTRAS BOVESPA])</f>
        <v>-63.11</v>
      </c>
      <c r="U45" s="42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46">
        <f>[LÍQUIDO]-SUMPRODUCT(N([DATA]=NC[[#This Row],[DATA]]),N([ID]=(NC[[#This Row],[ID]]-1)),[LÍQUIDO])</f>
        <v>0</v>
      </c>
      <c r="X45" s="42">
        <f>IF([T] = "VC", ABS([VALOR OP]) / [QTDE], [VALOR OP]/[QTDE])</f>
        <v>0</v>
      </c>
      <c r="Y45" s="42">
        <f>TRUNC(IF(OR([T]="CV",[T]="VV"),     L45*SETUP!$H$3,     0),2)</f>
        <v>0</v>
      </c>
      <c r="Z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2">
        <f>IF([LUCRO TMP] &lt;&gt; 0, [LUCRO TMP] - SUMPRODUCT(N([ATIVO]=NC[[#This Row],[ATIVO]]),N(['[D/N']]="N"),N([ID]&lt;NC[[#This Row],[ID]]),N([PAR]=NC[[#This Row],[PAR]]), [LUCRO TMP]), 0)</f>
        <v>-466.37</v>
      </c>
      <c r="AE45" s="42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2">
        <f>IF([U] = "U", SUMPRODUCT(N([DATA BASE]=NC[[#This Row],[DATA BASE]]), N(['[D/N']] = "D"),    [LUCRO P/ OP]), 0)</f>
        <v>0</v>
      </c>
      <c r="AH45" s="46">
        <f>IF([ TRIB. '[N']] &gt; 0,     ROUND([ TRIB. '[N']]*0.15,    2),    0)</f>
        <v>0</v>
      </c>
      <c r="AI45" s="46">
        <f>IF([LUCRO TRIB. DT] &gt; 0,     ROUND([LUCRO TRIB. DT]*0.2,    2)  -  SUMPRODUCT(N([DATA BASE]=NC[[#This Row],[DATA BASE]]),    [IRRF FONTE]),    0)</f>
        <v>0</v>
      </c>
      <c r="AJ45" s="49">
        <f>[IR '[N']] + [IR DEVIDO DT]</f>
        <v>0</v>
      </c>
      <c r="AK45" s="46">
        <f>IF(AND([U] = "U",[IR DEVIDO] &gt; 0), [IR DEVIDO] + 8.9, 0)</f>
        <v>0</v>
      </c>
      <c r="AL45" s="46">
        <f>[LUCRO '[N']]  + [LUCRO TRIB. DT] - [RESGATE]</f>
        <v>0</v>
      </c>
    </row>
    <row r="46" spans="1:38">
      <c r="A46" s="13">
        <v>45</v>
      </c>
      <c r="B46" s="13"/>
      <c r="C46" s="56" t="s">
        <v>120</v>
      </c>
      <c r="D46" s="43" t="s">
        <v>72</v>
      </c>
      <c r="E46" s="44">
        <v>41051</v>
      </c>
      <c r="F46" s="43">
        <v>1000</v>
      </c>
      <c r="G46" s="42">
        <v>0.94</v>
      </c>
      <c r="H46" s="13" t="s">
        <v>6</v>
      </c>
      <c r="I46" s="44">
        <f>WORKDAY(NC[[#This Row],[DATA]],1,0)</f>
        <v>41052</v>
      </c>
      <c r="J46" s="45">
        <f>EOMONTH(NC[[#This Row],[DATA DE LIQUIDAÇÃO]],0)</f>
        <v>41060</v>
      </c>
      <c r="K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2">
        <f>[QTDE]*[PREÇO]</f>
        <v>940</v>
      </c>
      <c r="M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2">
        <f>SETUP!$E$3*SUMPRODUCT(N([DATA]=NC[[#This Row],[DATA]]),N([ID]&lt;=NC[[#This Row],[ID]]))</f>
        <v>14.9</v>
      </c>
      <c r="R46" s="42">
        <f>TRUNC([CORRETAGEM]*SETUP!$F$3,2)</f>
        <v>0.28999999999999998</v>
      </c>
      <c r="S46" s="42">
        <f>ROUND([CORRETAGEM]*SETUP!$G$3,2)</f>
        <v>0.57999999999999996</v>
      </c>
      <c r="T46" s="42">
        <f>[VALOR LÍQUIDO DAS OPERAÇÕES]-[TAXA DE LIQUIDAÇÃO]-[EMOLUMENTOS]-[TAXA DE REGISTRO]-[CORRETAGEM]-[ISS]-IF(['[D/N']]="D",    0,    [OUTRAS BOVESPA])</f>
        <v>922.99</v>
      </c>
      <c r="U46" s="42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46">
        <f>[LÍQUIDO]-SUMPRODUCT(N([DATA]=NC[[#This Row],[DATA]]),N([ID]=(NC[[#This Row],[ID]]-1)),[LÍQUIDO])</f>
        <v>922.99</v>
      </c>
      <c r="X46" s="42">
        <f>IF([T] = "VC", ABS([VALOR OP]) / [QTDE], [VALOR OP]/[QTDE])</f>
        <v>0.92298999999999998</v>
      </c>
      <c r="Y46" s="42">
        <f>TRUNC(IF(OR([T]="CV",[T]="VV"),     L46*SETUP!$H$3,     0),2)</f>
        <v>0.04</v>
      </c>
      <c r="Z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2">
        <f>IF([LUCRO TMP] &lt;&gt; 0, [LUCRO TMP] - SUMPRODUCT(N([ATIVO]=NC[[#This Row],[ATIVO]]),N(['[D/N']]="N"),N([ID]&lt;NC[[#This Row],[ID]]),N([PAR]=NC[[#This Row],[PAR]]), [LUCRO TMP]), 0)</f>
        <v>0</v>
      </c>
      <c r="AE46" s="42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2">
        <f>IF([U] = "U", SUMPRODUCT(N([DATA BASE]=NC[[#This Row],[DATA BASE]]), N(['[D/N']] = "D"),    [LUCRO P/ OP]), 0)</f>
        <v>0</v>
      </c>
      <c r="AH46" s="46">
        <f>IF([ TRIB. '[N']] &gt; 0,     ROUND([ TRIB. '[N']]*0.15,    2),    0)</f>
        <v>0</v>
      </c>
      <c r="AI46" s="46">
        <f>IF([LUCRO TRIB. DT] &gt; 0,     ROUND([LUCRO TRIB. DT]*0.2,    2)  -  SUMPRODUCT(N([DATA BASE]=NC[[#This Row],[DATA BASE]]),    [IRRF FONTE]),    0)</f>
        <v>0</v>
      </c>
      <c r="AJ46" s="49">
        <f>[IR '[N']] + [IR DEVIDO DT]</f>
        <v>0</v>
      </c>
      <c r="AK46" s="46">
        <f>IF(AND([U] = "U",[IR DEVIDO] &gt; 0), [IR DEVIDO] + 8.9, 0)</f>
        <v>0</v>
      </c>
      <c r="AL46" s="46">
        <f>[LUCRO '[N']]  + [LUCRO TRIB. DT] - [RESGATE]</f>
        <v>0</v>
      </c>
    </row>
    <row r="47" spans="1:38">
      <c r="A47" s="13">
        <v>46</v>
      </c>
      <c r="B47" s="13" t="s">
        <v>53</v>
      </c>
      <c r="C47" s="56" t="s">
        <v>121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57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43"/>
      <c r="C48" s="43" t="s">
        <v>124</v>
      </c>
      <c r="D48" s="43" t="s">
        <v>24</v>
      </c>
      <c r="E48" s="44">
        <v>41068</v>
      </c>
      <c r="F48" s="43">
        <v>1600</v>
      </c>
      <c r="G48" s="42">
        <v>0.78</v>
      </c>
      <c r="H48" s="43" t="s">
        <v>6</v>
      </c>
      <c r="I48" s="44">
        <f>WORKDAY(NC[[#This Row],[DATA]],1,0)</f>
        <v>41071</v>
      </c>
      <c r="J48" s="65">
        <f>EOMONTH(NC[[#This Row],[DATA DE LIQUIDAÇÃO]],0)</f>
        <v>41090</v>
      </c>
      <c r="K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42">
        <f>[QTDE]*[PREÇO]</f>
        <v>1248</v>
      </c>
      <c r="M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N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P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Q48" s="42">
        <f>SETUP!$E$3*SUMPRODUCT(N([DATA]=NC[[#This Row],[DATA]]),N([ID]&lt;=NC[[#This Row],[ID]]))</f>
        <v>14.9</v>
      </c>
      <c r="R48" s="42">
        <f>TRUNC([CORRETAGEM]*SETUP!$F$3,2)</f>
        <v>0.28999999999999998</v>
      </c>
      <c r="S48" s="42">
        <f>ROUND([CORRETAGEM]*SETUP!$G$3,2)</f>
        <v>0.57999999999999996</v>
      </c>
      <c r="T48" s="42">
        <f>[VALOR LÍQUIDO DAS OPERAÇÕES]-[TAXA DE LIQUIDAÇÃO]-[EMOLUMENTOS]-[TAXA DE REGISTRO]-[CORRETAGEM]-[ISS]-IF(['[D/N']]="D",    0,    [OUTRAS BOVESPA])</f>
        <v>-1265.4299999999998</v>
      </c>
      <c r="U48" s="42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-1265.4299999999998</v>
      </c>
      <c r="W48" s="46">
        <f>[LÍQUIDO]-SUMPRODUCT(N([DATA]=NC[[#This Row],[DATA]]),N([ID]=(NC[[#This Row],[ID]]-1)),[LÍQUIDO])</f>
        <v>-1265.4299999999998</v>
      </c>
      <c r="X48" s="42">
        <f>IF([T] = "VC", ABS([VALOR OP]) / [QTDE], [VALOR OP]/[QTDE])</f>
        <v>-0.79089374999999995</v>
      </c>
      <c r="Y48" s="42">
        <f>TRUNC(IF(OR([T]="CV",[T]="VV"),     L48*SETUP!$H$3,     0),2)</f>
        <v>0</v>
      </c>
      <c r="Z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A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8" s="42">
        <f>IF([LUCRO TMP] &lt;&gt; 0, [LUCRO TMP] - SUMPRODUCT(N([ATIVO]=NC[[#This Row],[ATIVO]]),N(['[D/N']]="N"),N([ID]&lt;NC[[#This Row],[ID]]),N([PAR]=NC[[#This Row],[PAR]]), [LUCRO TMP]), 0)</f>
        <v>0</v>
      </c>
      <c r="AE48" s="42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42">
        <f>IF([U] = "U", SUMPRODUCT(N([DATA BASE]=NC[[#This Row],[DATA BASE]]), N(['[D/N']] = "D"),    [LUCRO P/ OP]), 0)</f>
        <v>0</v>
      </c>
      <c r="AH48" s="46">
        <f>IF([ TRIB. '[N']] &gt; 0,     ROUND([ TRIB. '[N']]*0.15,    2),    0)</f>
        <v>0</v>
      </c>
      <c r="AI48" s="46">
        <f>IF([LUCRO TRIB. DT] &gt; 0,     ROUND([LUCRO TRIB. DT]*0.2,    2)  -  SUMPRODUCT(N([DATA BASE]=NC[[#This Row],[DATA BASE]]),    [IRRF FONTE]),    0)</f>
        <v>0</v>
      </c>
      <c r="AJ48" s="49">
        <f>[IR '[N']] + [IR DEVIDO DT]</f>
        <v>0</v>
      </c>
      <c r="AK48" s="46">
        <f>IF(AND([U] = "U",[IR DEVIDO] &gt; 0), [IR DEVIDO] + 8.9, 0)</f>
        <v>0</v>
      </c>
      <c r="AL48" s="46">
        <f>[LUCRO '[N']]  + [LUCRO TRIB. DT] - [RESGATE]</f>
        <v>0</v>
      </c>
    </row>
    <row r="49" spans="1:38">
      <c r="A49" s="13">
        <v>48</v>
      </c>
      <c r="B49" s="13"/>
      <c r="C49" s="56" t="s">
        <v>112</v>
      </c>
      <c r="D49" s="13" t="s">
        <v>73</v>
      </c>
      <c r="E49" s="14">
        <v>41073</v>
      </c>
      <c r="F49" s="13">
        <v>200</v>
      </c>
      <c r="G49" s="15">
        <v>0.01</v>
      </c>
      <c r="H49" s="13" t="s">
        <v>6</v>
      </c>
      <c r="I49" s="14">
        <f>WORKDAY(NC[[#This Row],[DATA]],1,0)</f>
        <v>41074</v>
      </c>
      <c r="J49" s="57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2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9" s="15">
        <f>SETUP!$E$3*SUMPRODUCT(N([DATA]=NC[[#This Row],[DATA]]),N([ID]&lt;=NC[[#This Row],[ID]]))</f>
        <v>14.9</v>
      </c>
      <c r="R49" s="15">
        <f>TRUNC([CORRETAGEM]*SETUP!$F$3,2)</f>
        <v>0.28999999999999998</v>
      </c>
      <c r="S49" s="15">
        <f>ROUND([CORRETAGEM]*SETUP!$G$3,2)</f>
        <v>0.57999999999999996</v>
      </c>
      <c r="T49" s="15">
        <f>[VALOR LÍQUIDO DAS OPERAÇÕES]-[TAXA DE LIQUIDAÇÃO]-[EMOLUMENTOS]-[TAXA DE REGISTRO]-[CORRETAGEM]-[ISS]-IF(['[D/N']]="D",    0,    [OUTRAS BOVESPA])</f>
        <v>-17.769999999999996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-17.769999999999996</v>
      </c>
      <c r="W49" s="20">
        <f>[LÍQUIDO]-SUMPRODUCT(N([DATA]=NC[[#This Row],[DATA]]),N([ID]=(NC[[#This Row],[ID]]-1)),[LÍQUIDO])</f>
        <v>-17.769999999999996</v>
      </c>
      <c r="X49" s="15">
        <f>IF([T] = "VC", ABS([VALOR OP]) / [QTDE], [VALOR OP]/[QTDE])</f>
        <v>8.8849999999999985E-2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D49" s="15">
        <f>IF([LUCRO TMP] &lt;&gt; 0, [LUCRO TMP] - SUMPRODUCT(N([ATIVO]=NC[[#This Row],[ATIVO]]),N(['[D/N']]="N"),N([ID]&lt;NC[[#This Row],[ID]]),N([PAR]=NC[[#This Row],[PAR]]), [LUCRO TMP]), 0)</f>
        <v>240.08000000000004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56" t="s">
        <v>120</v>
      </c>
      <c r="D50" s="13" t="s">
        <v>73</v>
      </c>
      <c r="E50" s="14">
        <v>41074</v>
      </c>
      <c r="F50" s="13">
        <v>1000</v>
      </c>
      <c r="G50" s="15">
        <v>0.01</v>
      </c>
      <c r="H50" s="13" t="s">
        <v>6</v>
      </c>
      <c r="I50" s="14">
        <f>WORKDAY(NC[[#This Row],[DATA]],1,0)</f>
        <v>41075</v>
      </c>
      <c r="J50" s="57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10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-25.769999999999996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-25.769999999999996</v>
      </c>
      <c r="W50" s="20">
        <f>[LÍQUIDO]-SUMPRODUCT(N([DATA]=NC[[#This Row],[DATA]]),N([ID]=(NC[[#This Row],[ID]]-1)),[LÍQUIDO])</f>
        <v>-25.769999999999996</v>
      </c>
      <c r="X50" s="15">
        <f>IF([T] = "VC", ABS([VALOR OP]) / [QTDE], [VALOR OP]/[QTDE])</f>
        <v>2.5769999999999994E-2</v>
      </c>
      <c r="Y50" s="15">
        <f>TRUNC(IF(OR([T]="CV",[T]="VV"),     L50*SETUP!$H$3,     0),2)</f>
        <v>0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D50" s="15">
        <f>IF([LUCRO TMP] &lt;&gt; 0, [LUCRO TMP] - SUMPRODUCT(N([ATIVO]=NC[[#This Row],[ATIVO]]),N(['[D/N']]="N"),N([ID]&lt;NC[[#This Row],[ID]]),N([PAR]=NC[[#This Row],[PAR]]), [LUCRO TMP]), 0)</f>
        <v>897.22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43"/>
      <c r="C51" s="43" t="s">
        <v>124</v>
      </c>
      <c r="D51" s="43" t="s">
        <v>25</v>
      </c>
      <c r="E51" s="44">
        <v>41075</v>
      </c>
      <c r="F51" s="43">
        <v>1600</v>
      </c>
      <c r="G51" s="42">
        <v>1.29</v>
      </c>
      <c r="H51" s="43" t="s">
        <v>6</v>
      </c>
      <c r="I51" s="44">
        <f>WORKDAY(NC[[#This Row],[DATA]],1,0)</f>
        <v>41078</v>
      </c>
      <c r="J51" s="65">
        <f>EOMONTH(NC[[#This Row],[DATA DE LIQUIDAÇÃO]],0)</f>
        <v>41090</v>
      </c>
      <c r="K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42">
        <f>[QTDE]*[PREÇO]</f>
        <v>2064</v>
      </c>
      <c r="M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N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O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P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Q51" s="42">
        <f>SETUP!$E$3*SUMPRODUCT(N([DATA]=NC[[#This Row],[DATA]]),N([ID]&lt;=NC[[#This Row],[ID]]))</f>
        <v>14.9</v>
      </c>
      <c r="R51" s="42">
        <f>TRUNC([CORRETAGEM]*SETUP!$F$3,2)</f>
        <v>0.28999999999999998</v>
      </c>
      <c r="S51" s="42">
        <f>ROUND([CORRETAGEM]*SETUP!$G$3,2)</f>
        <v>0.57999999999999996</v>
      </c>
      <c r="T51" s="42">
        <f>[VALOR LÍQUIDO DAS OPERAÇÕES]-[TAXA DE LIQUIDAÇÃO]-[EMOLUMENTOS]-[TAXA DE REGISTRO]-[CORRETAGEM]-[ISS]-IF(['[D/N']]="D",    0,    [OUTRAS BOVESPA])</f>
        <v>2045.48</v>
      </c>
      <c r="U51" s="42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2045.48</v>
      </c>
      <c r="W51" s="46">
        <f>[LÍQUIDO]-SUMPRODUCT(N([DATA]=NC[[#This Row],[DATA]]),N([ID]=(NC[[#This Row],[ID]]-1)),[LÍQUIDO])</f>
        <v>2045.48</v>
      </c>
      <c r="X51" s="42">
        <f>IF([T] = "VC", ABS([VALOR OP]) / [QTDE], [VALOR OP]/[QTDE])</f>
        <v>1.2784249999999999</v>
      </c>
      <c r="Y51" s="42">
        <f>TRUNC(IF(OR([T]="CV",[T]="VV"),     L51*SETUP!$H$3,     0),2)</f>
        <v>0.1</v>
      </c>
      <c r="Z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C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D51" s="42">
        <f>IF([LUCRO TMP] &lt;&gt; 0, [LUCRO TMP] - SUMPRODUCT(N([ATIVO]=NC[[#This Row],[ATIVO]]),N(['[D/N']]="N"),N([ID]&lt;NC[[#This Row],[ID]]),N([PAR]=NC[[#This Row],[PAR]]), [LUCRO TMP]), 0)</f>
        <v>780.05</v>
      </c>
      <c r="AE51" s="42">
        <f>IF([U] = "U", SUMPRODUCT(N([ID]&lt;=NC[[#This Row],[ID]]),N([DATA BASE]=NC[[#This Row],[DATA BASE]]), N(['[D/N']] = "N"),    [LUCRO P/ OP]), 0)</f>
        <v>0</v>
      </c>
      <c r="AF51" s="15">
        <f>IF([U] = "U",[LUCRO '[N']] + SUMPRODUCT(N(MONTH([DATA BASE])&lt;MONTH(NC[[#This Row],[DATA BASE]]) ), [LUCRO '[N']]),0)</f>
        <v>0</v>
      </c>
      <c r="AG51" s="42">
        <f>IF([U] = "U", SUMPRODUCT(N([DATA BASE]=NC[[#This Row],[DATA BASE]]), N(['[D/N']] = "D"),    [LUCRO P/ OP]), 0)</f>
        <v>0</v>
      </c>
      <c r="AH51" s="46">
        <f>IF([ TRIB. '[N']] &gt; 0,     ROUND([ TRIB. '[N']]*0.15,    2),    0)</f>
        <v>0</v>
      </c>
      <c r="AI51" s="46">
        <f>IF([LUCRO TRIB. DT] &gt; 0,     ROUND([LUCRO TRIB. DT]*0.2,    2)  -  SUMPRODUCT(N([DATA BASE]=NC[[#This Row],[DATA BASE]]),    [IRRF FONTE]),    0)</f>
        <v>0</v>
      </c>
      <c r="AJ51" s="49">
        <f>[IR '[N']] + [IR DEVIDO DT]</f>
        <v>0</v>
      </c>
      <c r="AK51" s="46">
        <f>IF(AND([U] = "U",[IR DEVIDO] &gt; 0), [IR DEVIDO] + 8.9, 0)</f>
        <v>0</v>
      </c>
      <c r="AL51" s="46">
        <f>[LUCRO '[N']]  + [LUCRO TRIB. DT] - [RESGATE]</f>
        <v>0</v>
      </c>
    </row>
    <row r="52" spans="1:38">
      <c r="A52" s="13">
        <v>51</v>
      </c>
      <c r="B52" s="43"/>
      <c r="C52" s="56" t="s">
        <v>125</v>
      </c>
      <c r="D52" s="13" t="s">
        <v>72</v>
      </c>
      <c r="E52" s="44">
        <v>41075</v>
      </c>
      <c r="F52" s="43">
        <v>1100</v>
      </c>
      <c r="G52" s="42">
        <v>1.41</v>
      </c>
      <c r="H52" s="43" t="s">
        <v>6</v>
      </c>
      <c r="I52" s="80">
        <f>WORKDAY(NC[[#This Row],[DATA]],1,0)</f>
        <v>41078</v>
      </c>
      <c r="J52" s="82">
        <f>EOMONTH(NC[[#This Row],[DATA DE LIQUIDAÇÃO]],0)</f>
        <v>41090</v>
      </c>
      <c r="K52" s="79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2" s="81">
        <f>[QTDE]*[PREÇO]</f>
        <v>1551</v>
      </c>
      <c r="M52" s="8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N52" s="8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O52" s="8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P52" s="8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Q52" s="81">
        <f>SETUP!$E$3*SUMPRODUCT(N([DATA]=NC[[#This Row],[DATA]]),N([ID]&lt;=NC[[#This Row],[ID]]))</f>
        <v>29.8</v>
      </c>
      <c r="R52" s="81">
        <f>TRUNC([CORRETAGEM]*SETUP!$F$3,2)</f>
        <v>0.59</v>
      </c>
      <c r="S52" s="81">
        <f>ROUND([CORRETAGEM]*SETUP!$G$3,2)</f>
        <v>1.1599999999999999</v>
      </c>
      <c r="T52" s="81">
        <f>[VALOR LÍQUIDO DAS OPERAÇÕES]-[TAXA DE LIQUIDAÇÃO]-[EMOLUMENTOS]-[TAXA DE REGISTRO]-[CORRETAGEM]-[ISS]-IF(['[D/N']]="D",    0,    [OUTRAS BOVESPA])</f>
        <v>3578.62</v>
      </c>
      <c r="U52" s="81">
        <f>IF(AND(['[D/N']]="D",    [T]="CV"),    ROUND([LÍQUIDO BASE]*0.01, 2),    0)</f>
        <v>0</v>
      </c>
      <c r="V52" s="15">
        <f>IF([PREÇO] &gt; 0,    [LÍQUIDO BASE]-SUMPRODUCT(N([DATA]=NC[[#This Row],[DATA]]),    [IRRF FONTE]),    0)</f>
        <v>3578.62</v>
      </c>
      <c r="W52" s="83">
        <f>[LÍQUIDO]-SUMPRODUCT(N([DATA]=NC[[#This Row],[DATA]]),N([ID]=(NC[[#This Row],[ID]]-1)),[LÍQUIDO])</f>
        <v>1533.1399999999999</v>
      </c>
      <c r="X52" s="81">
        <f>IF([T] = "VC", ABS([VALOR OP]) / [QTDE], [VALOR OP]/[QTDE])</f>
        <v>1.3937636363636363</v>
      </c>
      <c r="Y52" s="81">
        <f>TRUNC(IF(OR([T]="CV",[T]="VV"),     L52*SETUP!$H$3,     0),2)</f>
        <v>7.0000000000000007E-2</v>
      </c>
      <c r="Z52" s="79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A52" s="8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52" s="8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C52" s="8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52" s="81">
        <f>IF([LUCRO TMP] &lt;&gt; 0, [LUCRO TMP] - SUMPRODUCT(N([ATIVO]=NC[[#This Row],[ATIVO]]),N(['[D/N']]="N"),N([ID]&lt;NC[[#This Row],[ID]]),N([PAR]=NC[[#This Row],[PAR]]), [LUCRO TMP]), 0)</f>
        <v>0</v>
      </c>
      <c r="AE52" s="81">
        <f>IF([U] = "U", SUMPRODUCT(N([ID]&lt;=NC[[#This Row],[ID]]),N([DATA BASE]=NC[[#This Row],[DATA BASE]]), N(['[D/N']] = "N"),    [LUCRO P/ OP]), 0)</f>
        <v>0</v>
      </c>
      <c r="AF52" s="15">
        <f>IF([U] = "U",[LUCRO '[N']] + SUMPRODUCT(N(MONTH([DATA BASE])&lt;MONTH(NC[[#This Row],[DATA BASE]]) ), [LUCRO '[N']]),0)</f>
        <v>0</v>
      </c>
      <c r="AG52" s="81">
        <f>IF([U] = "U", SUMPRODUCT(N([DATA BASE]=NC[[#This Row],[DATA BASE]]), N(['[D/N']] = "D"),    [LUCRO P/ OP]), 0)</f>
        <v>0</v>
      </c>
      <c r="AH52" s="83">
        <f>IF([ TRIB. '[N']] &gt; 0,     ROUND([ TRIB. '[N']]*0.15,    2),    0)</f>
        <v>0</v>
      </c>
      <c r="AI52" s="83">
        <f>IF([LUCRO TRIB. DT] &gt; 0,     ROUND([LUCRO TRIB. DT]*0.2,    2)  -  SUMPRODUCT(N([DATA BASE]=NC[[#This Row],[DATA BASE]]),    [IRRF FONTE]),    0)</f>
        <v>0</v>
      </c>
      <c r="AJ52" s="86">
        <f>[IR '[N']] + [IR DEVIDO DT]</f>
        <v>0</v>
      </c>
      <c r="AK52" s="83">
        <f>IF(AND([U] = "U",[IR DEVIDO] &gt; 0), [IR DEVIDO] + 8.9, 0)</f>
        <v>0</v>
      </c>
      <c r="AL52" s="83">
        <f>[LUCRO '[N']]  + [LUCRO TRIB. DT] - [RESGATE]</f>
        <v>0</v>
      </c>
    </row>
    <row r="53" spans="1:38">
      <c r="A53" s="13">
        <v>52</v>
      </c>
      <c r="B53" s="43"/>
      <c r="C53" s="56" t="s">
        <v>126</v>
      </c>
      <c r="D53" s="13" t="s">
        <v>24</v>
      </c>
      <c r="E53" s="44">
        <v>41075</v>
      </c>
      <c r="F53" s="43">
        <v>1100</v>
      </c>
      <c r="G53" s="42">
        <v>0.88</v>
      </c>
      <c r="H53" s="43" t="s">
        <v>6</v>
      </c>
      <c r="I53" s="80">
        <f>WORKDAY(NC[[#This Row],[DATA]],1,0)</f>
        <v>41078</v>
      </c>
      <c r="J53" s="82">
        <f>EOMONTH(NC[[#This Row],[DATA DE LIQUIDAÇÃO]],0)</f>
        <v>41090</v>
      </c>
      <c r="K53" s="79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3" s="81">
        <f>[QTDE]*[PREÇO]</f>
        <v>968</v>
      </c>
      <c r="M53" s="81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N53" s="81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O53" s="81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P53" s="81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Q53" s="81">
        <f>SETUP!$E$3*SUMPRODUCT(N([DATA]=NC[[#This Row],[DATA]]),N([ID]&lt;=NC[[#This Row],[ID]]))</f>
        <v>44.7</v>
      </c>
      <c r="R53" s="81">
        <f>TRUNC([CORRETAGEM]*SETUP!$F$3,2)</f>
        <v>0.89</v>
      </c>
      <c r="S53" s="81">
        <f>ROUND([CORRETAGEM]*SETUP!$G$3,2)</f>
        <v>1.74</v>
      </c>
      <c r="T53" s="81">
        <f>[VALOR LÍQUIDO DAS OPERAÇÕES]-[TAXA DE LIQUIDAÇÃO]-[EMOLUMENTOS]-[TAXA DE REGISTRO]-[CORRETAGEM]-[ISS]-IF(['[D/N']]="D",    0,    [OUTRAS BOVESPA])</f>
        <v>2593.5400000000004</v>
      </c>
      <c r="U53" s="81">
        <f>IF(AND(['[D/N']]="D",    [T]="CV"),    ROUND([LÍQUIDO BASE]*0.01, 2),    0)</f>
        <v>0</v>
      </c>
      <c r="V53" s="15">
        <f>IF([PREÇO] &gt; 0,    [LÍQUIDO BASE]-SUMPRODUCT(N([DATA]=NC[[#This Row],[DATA]]),    [IRRF FONTE]),    0)</f>
        <v>2593.5400000000004</v>
      </c>
      <c r="W53" s="83">
        <f>[LÍQUIDO]-SUMPRODUCT(N([DATA]=NC[[#This Row],[DATA]]),N([ID]=(NC[[#This Row],[ID]]-1)),[LÍQUIDO])</f>
        <v>-985.07999999999947</v>
      </c>
      <c r="X53" s="81">
        <f>IF([T] = "VC", ABS([VALOR OP]) / [QTDE], [VALOR OP]/[QTDE])</f>
        <v>-0.89552727272727228</v>
      </c>
      <c r="Y53" s="81">
        <f>TRUNC(IF(OR([T]="CV",[T]="VV"),     L53*SETUP!$H$3,     0),2)</f>
        <v>0</v>
      </c>
      <c r="Z53" s="79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A53" s="8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B53" s="8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3" s="8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53" s="81">
        <f>IF([LUCRO TMP] &lt;&gt; 0, [LUCRO TMP] - SUMPRODUCT(N([ATIVO]=NC[[#This Row],[ATIVO]]),N(['[D/N']]="N"),N([ID]&lt;NC[[#This Row],[ID]]),N([PAR]=NC[[#This Row],[PAR]]), [LUCRO TMP]), 0)</f>
        <v>0</v>
      </c>
      <c r="AE53" s="81">
        <f>IF([U] = "U", SUMPRODUCT(N([ID]&lt;=NC[[#This Row],[ID]]),N([DATA BASE]=NC[[#This Row],[DATA BASE]]), N(['[D/N']] = "N"),    [LUCRO P/ OP]), 0)</f>
        <v>0</v>
      </c>
      <c r="AF53" s="15">
        <f>IF([U] = "U",[LUCRO '[N']] + SUMPRODUCT(N(MONTH([DATA BASE])&lt;MONTH(NC[[#This Row],[DATA BASE]]) ), [LUCRO '[N']]),0)</f>
        <v>0</v>
      </c>
      <c r="AG53" s="81">
        <f>IF([U] = "U", SUMPRODUCT(N([DATA BASE]=NC[[#This Row],[DATA BASE]]), N(['[D/N']] = "D"),    [LUCRO P/ OP]), 0)</f>
        <v>0</v>
      </c>
      <c r="AH53" s="83">
        <f>IF([ TRIB. '[N']] &gt; 0,     ROUND([ TRIB. '[N']]*0.15,    2),    0)</f>
        <v>0</v>
      </c>
      <c r="AI53" s="83">
        <f>IF([LUCRO TRIB. DT] &gt; 0,     ROUND([LUCRO TRIB. DT]*0.2,    2)  -  SUMPRODUCT(N([DATA BASE]=NC[[#This Row],[DATA BASE]]),    [IRRF FONTE]),    0)</f>
        <v>0</v>
      </c>
      <c r="AJ53" s="86">
        <f>[IR '[N']] + [IR DEVIDO DT]</f>
        <v>0</v>
      </c>
      <c r="AK53" s="83">
        <f>IF(AND([U] = "U",[IR DEVIDO] &gt; 0), [IR DEVIDO] + 8.9, 0)</f>
        <v>0</v>
      </c>
      <c r="AL53" s="83">
        <f>[LUCRO '[N']]  + [LUCRO TRIB. DT] - [RESGATE]</f>
        <v>0</v>
      </c>
    </row>
    <row r="54" spans="1:38">
      <c r="A54" s="13">
        <v>53</v>
      </c>
      <c r="B54" s="13"/>
      <c r="C54" s="56" t="s">
        <v>121</v>
      </c>
      <c r="D54" s="13" t="s">
        <v>25</v>
      </c>
      <c r="E54" s="14">
        <v>41078</v>
      </c>
      <c r="F54" s="13">
        <v>1000</v>
      </c>
      <c r="G54" s="15">
        <v>0</v>
      </c>
      <c r="H54" s="13" t="s">
        <v>6</v>
      </c>
      <c r="I54" s="14">
        <f>WORKDAY(NC[[#This Row],[DATA]],1,0)</f>
        <v>41079</v>
      </c>
      <c r="J54" s="57">
        <f>EOMONTH(NC[[#This Row],[DATA DE LIQUIDAÇÃO]],0)</f>
        <v>41090</v>
      </c>
      <c r="K5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4" s="15">
        <f>[QTDE]*[PREÇO]</f>
        <v>0</v>
      </c>
      <c r="M5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4" s="15">
        <f>SETUP!$E$3*SUMPRODUCT(N([DATA]=NC[[#This Row],[DATA]]),N([ID]&lt;=NC[[#This Row],[ID]]))</f>
        <v>14.9</v>
      </c>
      <c r="R54" s="15">
        <f>TRUNC([CORRETAGEM]*SETUP!$F$3,2)</f>
        <v>0.28999999999999998</v>
      </c>
      <c r="S54" s="15">
        <f>ROUND([CORRETAGEM]*SETUP!$G$3,2)</f>
        <v>0.57999999999999996</v>
      </c>
      <c r="T54" s="15">
        <f>[VALOR LÍQUIDO DAS OPERAÇÕES]-[TAXA DE LIQUIDAÇÃO]-[EMOLUMENTOS]-[TAXA DE REGISTRO]-[CORRETAGEM]-[ISS]-IF(['[D/N']]="D",    0,    [OUTRAS BOVESPA])</f>
        <v>-15.77</v>
      </c>
      <c r="U54" s="15">
        <f>IF(AND(['[D/N']]="D",    [T]="CV"),    ROUND([LÍQUIDO BASE]*0.01, 2),    0)</f>
        <v>0</v>
      </c>
      <c r="V54" s="15">
        <f>IF([PREÇO] &gt; 0,    [LÍQUIDO BASE]-SUMPRODUCT(N([DATA]=NC[[#This Row],[DATA]]),    [IRRF FONTE]),    0)</f>
        <v>0</v>
      </c>
      <c r="W54" s="20">
        <f>[LÍQUIDO]-SUMPRODUCT(N([DATA]=NC[[#This Row],[DATA]]),N([ID]=(NC[[#This Row],[ID]]-1)),[LÍQUIDO])</f>
        <v>0</v>
      </c>
      <c r="X54" s="15">
        <f>IF([T] = "VC", ABS([VALOR OP]) / [QTDE], [VALOR OP]/[QTDE])</f>
        <v>0</v>
      </c>
      <c r="Y54" s="15">
        <f>TRUNC(IF(OR([T]="CV",[T]="VV"),     L54*SETUP!$H$3,     0),2)</f>
        <v>0</v>
      </c>
      <c r="Z5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5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D54" s="15">
        <f>IF([LUCRO TMP] &lt;&gt; 0, [LUCRO TMP] - SUMPRODUCT(N([ATIVO]=NC[[#This Row],[ATIVO]]),N(['[D/N']]="N"),N([ID]&lt;NC[[#This Row],[ID]]),N([PAR]=NC[[#This Row],[PAR]]), [LUCRO TMP]), 0)</f>
        <v>-466.39</v>
      </c>
      <c r="AE54" s="15">
        <f>IF([U] = "U", SUMPRODUCT(N([ID]&lt;=NC[[#This Row],[ID]]),N([DATA BASE]=NC[[#This Row],[DATA BASE]]), N(['[D/N']] = "N"),    [LUCRO P/ OP]), 0)</f>
        <v>0</v>
      </c>
      <c r="AF54" s="15">
        <f>IF([U] = "U",[LUCRO '[N']] + SUMPRODUCT(N(MONTH([DATA BASE])&lt;MONTH(NC[[#This Row],[DATA BASE]]) ), [LUCRO '[N']]),0)</f>
        <v>0</v>
      </c>
      <c r="AG54" s="15">
        <f>IF([U] = "U", SUMPRODUCT(N([DATA BASE]=NC[[#This Row],[DATA BASE]]), N(['[D/N']] = "D"),    [LUCRO P/ OP]), 0)</f>
        <v>0</v>
      </c>
      <c r="AH54" s="20">
        <f>IF([ TRIB. '[N']] &gt; 0,     ROUND([ TRIB. '[N']]*0.15,    2),    0)</f>
        <v>0</v>
      </c>
      <c r="AI54" s="20">
        <f>IF([LUCRO TRIB. DT] &gt; 0,     ROUND([LUCRO TRIB. DT]*0.2,    2)  -  SUMPRODUCT(N([DATA BASE]=NC[[#This Row],[DATA BASE]]),    [IRRF FONTE]),    0)</f>
        <v>0</v>
      </c>
      <c r="AJ54" s="19">
        <f>[IR '[N']] + [IR DEVIDO DT]</f>
        <v>0</v>
      </c>
      <c r="AK54" s="20">
        <f>IF(AND([U] = "U",[IR DEVIDO] &gt; 0), [IR DEVIDO] + 8.9, 0)</f>
        <v>0</v>
      </c>
      <c r="AL54" s="20">
        <f>[LUCRO '[N']]  + [LUCRO TRIB. DT] - [RESGATE]</f>
        <v>0</v>
      </c>
    </row>
    <row r="55" spans="1:38">
      <c r="A55" s="13">
        <v>54</v>
      </c>
      <c r="B55" s="13" t="s">
        <v>53</v>
      </c>
      <c r="C55" s="56" t="s">
        <v>111</v>
      </c>
      <c r="D55" s="13" t="s">
        <v>25</v>
      </c>
      <c r="E55" s="14">
        <v>41078</v>
      </c>
      <c r="F55" s="13">
        <v>200</v>
      </c>
      <c r="G55" s="15">
        <v>0</v>
      </c>
      <c r="H55" s="13" t="s">
        <v>6</v>
      </c>
      <c r="I55" s="14">
        <f>WORKDAY(NC[[#This Row],[DATA]],1,0)</f>
        <v>41079</v>
      </c>
      <c r="J55" s="57">
        <f>EOMONTH(NC[[#This Row],[DATA DE LIQUIDAÇÃO]],0)</f>
        <v>41090</v>
      </c>
      <c r="K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5" s="15">
        <f>[QTDE]*[PREÇO]</f>
        <v>0</v>
      </c>
      <c r="M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5" s="15">
        <f>SETUP!$E$3*SUMPRODUCT(N([DATA]=NC[[#This Row],[DATA]]),N([ID]&lt;=NC[[#This Row],[ID]]))</f>
        <v>29.8</v>
      </c>
      <c r="R55" s="15">
        <f>TRUNC([CORRETAGEM]*SETUP!$F$3,2)</f>
        <v>0.59</v>
      </c>
      <c r="S55" s="15">
        <f>ROUND([CORRETAGEM]*SETUP!$G$3,2)</f>
        <v>1.1599999999999999</v>
      </c>
      <c r="T55" s="15">
        <f>[VALOR LÍQUIDO DAS OPERAÇÕES]-[TAXA DE LIQUIDAÇÃO]-[EMOLUMENTOS]-[TAXA DE REGISTRO]-[CORRETAGEM]-[ISS]-IF(['[D/N']]="D",    0,    [OUTRAS BOVESPA])</f>
        <v>-31.55</v>
      </c>
      <c r="U55" s="15">
        <f>IF(AND(['[D/N']]="D",    [T]="CV"),    ROUND([LÍQUIDO BASE]*0.01, 2),    0)</f>
        <v>0</v>
      </c>
      <c r="V55" s="15">
        <f>IF([PREÇO] &gt; 0,    [LÍQUIDO BASE]-SUMPRODUCT(N([DATA]=NC[[#This Row],[DATA]]),    [IRRF FONTE]),    0)</f>
        <v>0</v>
      </c>
      <c r="W55" s="20">
        <f>[LÍQUIDO]-SUMPRODUCT(N([DATA]=NC[[#This Row],[DATA]]),N([ID]=(NC[[#This Row],[ID]]-1)),[LÍQUIDO])</f>
        <v>0</v>
      </c>
      <c r="X55" s="15">
        <f>IF([T] = "VC", ABS([VALOR OP]) / [QTDE], [VALOR OP]/[QTDE])</f>
        <v>0</v>
      </c>
      <c r="Y55" s="15">
        <f>TRUNC(IF(OR([T]="CV",[T]="VV"),     L55*SETUP!$H$3,     0),2)</f>
        <v>0</v>
      </c>
      <c r="Z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D55" s="15">
        <f>IF([LUCRO TMP] &lt;&gt; 0, [LUCRO TMP] - SUMPRODUCT(N([ATIVO]=NC[[#This Row],[ATIVO]]),N(['[D/N']]="N"),N([ID]&lt;NC[[#This Row],[ID]]),N([PAR]=NC[[#This Row],[PAR]]), [LUCRO TMP]), 0)</f>
        <v>-153.94000000000003</v>
      </c>
      <c r="AE55" s="15">
        <f>IF([U] = "U", SUMPRODUCT(N([ID]&lt;=NC[[#This Row],[ID]]),N([DATA BASE]=NC[[#This Row],[DATA BASE]]), N(['[D/N']] = "N"),    [LUCRO P/ OP]), 0)</f>
        <v>1297.02</v>
      </c>
      <c r="AF55" s="15">
        <f>IF([U] = "U",[LUCRO '[N']] + SUMPRODUCT(N(MONTH([DATA BASE])&lt;MONTH(NC[[#This Row],[DATA BASE]]) ), [LUCRO '[N']]),0)</f>
        <v>113.90000000000032</v>
      </c>
      <c r="AG55" s="15">
        <f>IF([U] = "U", SUMPRODUCT(N([DATA BASE]=NC[[#This Row],[DATA BASE]]), N(['[D/N']] = "D"),    [LUCRO P/ OP]), 0)</f>
        <v>0</v>
      </c>
      <c r="AH55" s="20">
        <f>IF([ TRIB. '[N']] &gt; 0,     ROUND([ TRIB. '[N']]*0.15,    2),    0)</f>
        <v>17.09</v>
      </c>
      <c r="AI55" s="20">
        <f>IF([LUCRO TRIB. DT] &gt; 0,     ROUND([LUCRO TRIB. DT]*0.2,    2)  -  SUMPRODUCT(N([DATA BASE]=NC[[#This Row],[DATA BASE]]),    [IRRF FONTE]),    0)</f>
        <v>0</v>
      </c>
      <c r="AJ55" s="19">
        <f>[IR '[N']] + [IR DEVIDO DT]</f>
        <v>17.09</v>
      </c>
      <c r="AK55" s="20">
        <f>IF(AND([U] = "U",[IR DEVIDO] &gt; 0), [IR DEVIDO] + 8.9, 0)</f>
        <v>25.990000000000002</v>
      </c>
      <c r="AL55" s="20">
        <f>[LUCRO '[N']]  + [LUCRO TRIB. DT] - [RESGATE]</f>
        <v>1271.03</v>
      </c>
    </row>
    <row r="56" spans="1:38">
      <c r="A56" s="66">
        <f>SUBTOTAL(104,[ID])</f>
        <v>54</v>
      </c>
      <c r="B56" s="66"/>
      <c r="C56" s="66"/>
      <c r="D56" s="66"/>
      <c r="E56" s="66"/>
      <c r="F56" s="66"/>
      <c r="G56" s="66">
        <f>NC[[#Totals],[ID]]*14.9</f>
        <v>804.6</v>
      </c>
      <c r="H56" s="66">
        <f>NC[[#Totals],[LUCRO P/ OP]]+NC[[#Totals],[PREÇO]]</f>
        <v>1397.0100000000002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15"/>
      <c r="U56" s="66"/>
      <c r="V56" s="15"/>
      <c r="W56" s="15"/>
      <c r="X56" s="66"/>
      <c r="Y56" s="15">
        <f>SUBTOTAL(109,[IRRF])</f>
        <v>0.38000000000000006</v>
      </c>
      <c r="Z56" s="15"/>
      <c r="AA56" s="66"/>
      <c r="AB56" s="66"/>
      <c r="AC56" s="15"/>
      <c r="AD56" s="15">
        <f>SUBTOTAL(109,[LUCRO P/ OP])</f>
        <v>592.4100000000002</v>
      </c>
      <c r="AE56" s="15"/>
      <c r="AF56" s="15"/>
      <c r="AG56" s="67"/>
      <c r="AH56" s="15"/>
      <c r="AI56" s="15"/>
      <c r="AJ56" s="68"/>
      <c r="AK56" s="68"/>
      <c r="AL56" s="69">
        <f>SUBTOTAL(109,[LUCRO LÍQUIDO])</f>
        <v>466.60000000000014</v>
      </c>
    </row>
    <row r="57" spans="1:38">
      <c r="AD57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123</v>
      </c>
      <c r="B2" s="25">
        <v>1273.3800000000001</v>
      </c>
      <c r="C2" s="25">
        <v>36.090000000000003</v>
      </c>
      <c r="D2" s="25">
        <v>1.23</v>
      </c>
      <c r="E2" s="39">
        <v>36.1</v>
      </c>
      <c r="F2" s="28">
        <f>ROUNDDOWN([APLICAÇÃO]/[PREÇO OPÇÃO], 0)</f>
        <v>1035</v>
      </c>
      <c r="G2" s="28">
        <f>[QTDE TMP] - MOD([QTDE TMP], 100)</f>
        <v>1000</v>
      </c>
      <c r="H2" s="25">
        <f>[EXERCÍCIO] + ([PREÇO OPÇÃO] * 2)</f>
        <v>38.550000000000004</v>
      </c>
      <c r="I2" s="27">
        <f>[TARGET 100%] / [PREÇO AÇÃO] - 1</f>
        <v>6.7867036011080462E-2</v>
      </c>
      <c r="J2" s="25">
        <f>[PREÇO OPÇÃO] * [QTDE] - 30</f>
        <v>1200</v>
      </c>
    </row>
    <row r="3" spans="1:10">
      <c r="A3" s="7" t="s">
        <v>124</v>
      </c>
      <c r="B3" s="25">
        <v>1273.3800000000001</v>
      </c>
      <c r="C3" s="25">
        <v>37.090000000000003</v>
      </c>
      <c r="D3" s="25">
        <v>0.79</v>
      </c>
      <c r="E3" s="39">
        <v>37.33</v>
      </c>
      <c r="F3" s="28">
        <f>ROUNDDOWN([APLICAÇÃO]/[PREÇO OPÇÃO], 0)</f>
        <v>1611</v>
      </c>
      <c r="G3" s="28">
        <f>[QTDE TMP] - MOD([QTDE TMP], 100)</f>
        <v>1600</v>
      </c>
      <c r="H3" s="25">
        <f>[EXERCÍCIO] + ([PREÇO OPÇÃO] * 2)</f>
        <v>38.67</v>
      </c>
      <c r="I3" s="27">
        <f>[TARGET 100%] / [PREÇO AÇÃO] - 1</f>
        <v>3.5896062148406127E-2</v>
      </c>
      <c r="J3" s="25">
        <f>[PREÇO OPÇÃO] * [QTDE] - 30</f>
        <v>1234</v>
      </c>
    </row>
    <row r="4" spans="1:10">
      <c r="A4" s="7" t="s">
        <v>124</v>
      </c>
      <c r="B4" s="25">
        <v>1273.3800000000001</v>
      </c>
      <c r="C4" s="25">
        <v>38.090000000000003</v>
      </c>
      <c r="D4" s="25">
        <v>0.47</v>
      </c>
      <c r="E4" s="39">
        <v>37.229999999999997</v>
      </c>
      <c r="F4" s="28">
        <f>ROUNDDOWN([APLICAÇÃO]/[PREÇO OPÇÃO], 0)</f>
        <v>2709</v>
      </c>
      <c r="G4" s="28">
        <f>[QTDE TMP] - MOD([QTDE TMP], 100)</f>
        <v>2700</v>
      </c>
      <c r="H4" s="25">
        <f>[EXERCÍCIO] + ([PREÇO OPÇÃO] * 2)</f>
        <v>39.03</v>
      </c>
      <c r="I4" s="27">
        <f>[TARGET 100%] / [PREÇO AÇÃO] - 1</f>
        <v>4.8348106365834198E-2</v>
      </c>
      <c r="J4" s="25">
        <f>[PREÇO OPÇÃO] * [QTDE] - 30</f>
        <v>1239</v>
      </c>
    </row>
    <row r="5" spans="1:10">
      <c r="A5" s="40" t="s">
        <v>15</v>
      </c>
      <c r="B5" s="41"/>
      <c r="C5" s="41"/>
      <c r="D5" s="41"/>
      <c r="E5" s="41"/>
      <c r="F5" s="41"/>
      <c r="G5" s="41"/>
      <c r="H5" s="41"/>
      <c r="I5" s="41"/>
      <c r="J5" s="4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113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122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 - 60</f>
        <v>62</v>
      </c>
      <c r="N3" s="25">
        <f>[QTDE]*[PERDA P/ OPÇÃO] - 60</f>
        <v>-138</v>
      </c>
      <c r="O3" s="27">
        <f>[EXERC. VENDA]/[PREÇO AÇÃO]-1</f>
        <v>-5.9292476332835187E-2</v>
      </c>
      <c r="P3" s="38">
        <f>[LUCRO*]/ABS([PERDA*])</f>
        <v>0.44927536231884058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39">
        <f>[PREÇO VENDA]-[PREÇO COMPRA]</f>
        <v>0.52</v>
      </c>
      <c r="J4" s="39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39">
        <f>([QTDE]*[LUCRO P/ OPÇÃO]) - 60</f>
        <v>408</v>
      </c>
      <c r="N4" s="25">
        <f>[QTDE]*[PERDA P/ OPÇÃO] - 60</f>
        <v>-492</v>
      </c>
      <c r="O4" s="27">
        <f>[EXERC. VENDA]/[PREÇO AÇÃO]-1</f>
        <v>-2.3947368421052495E-2</v>
      </c>
      <c r="P4" s="38">
        <f>[LUCRO*]/ABS([PERDA*])</f>
        <v>0.82926829268292679</v>
      </c>
    </row>
    <row r="5" spans="1:16">
      <c r="A5" s="50" t="s">
        <v>109</v>
      </c>
      <c r="B5" s="51">
        <v>90</v>
      </c>
      <c r="C5" s="51">
        <v>11.83</v>
      </c>
      <c r="D5" s="51">
        <v>11</v>
      </c>
      <c r="E5" s="51">
        <v>1.37</v>
      </c>
      <c r="F5" s="51">
        <v>12</v>
      </c>
      <c r="G5" s="51">
        <v>0.69</v>
      </c>
      <c r="H5" s="51">
        <f>([QTDE] * [PREÇO COMPRA]) + ([QTDE] * [PREÇO VENDA])</f>
        <v>412</v>
      </c>
      <c r="I5" s="52">
        <f>[PREÇO VENDA]-[PREÇO COMPRA]</f>
        <v>0.68000000000000016</v>
      </c>
      <c r="J5" s="52">
        <f>(0.01 - [PREÇO COMPRA]) + ([PREÇO VENDA] - ([EXERC. COMPRA]-[EXERC. VENDA]+0.01))</f>
        <v>-0.31999999999999984</v>
      </c>
      <c r="K5" s="53">
        <f>ROUNDDOWN([RISCO]/ABS([PERDA P/ OPÇÃO]), 0)</f>
        <v>281</v>
      </c>
      <c r="L5" s="53">
        <f>[QTDE TMP] - MOD([QTDE TMP], 100)</f>
        <v>200</v>
      </c>
      <c r="M5" s="52">
        <f>([QTDE]*[LUCRO P/ OPÇÃO]) - 60</f>
        <v>76.000000000000028</v>
      </c>
      <c r="N5" s="51">
        <f>[QTDE]*[PERDA P/ OPÇÃO] - 60</f>
        <v>-123.99999999999997</v>
      </c>
      <c r="O5" s="54">
        <f>[EXERC. VENDA]/[PREÇO AÇÃO]-1</f>
        <v>-7.0160608622147125E-2</v>
      </c>
      <c r="P5" s="55">
        <f>[LUCRO*]/ABS([PERDA*])</f>
        <v>0.61290322580645196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2">
        <f>[PREÇO VENDA]-[PREÇO COMPRA]</f>
        <v>1.24</v>
      </c>
      <c r="J6" s="52">
        <f>(0.01 - [PREÇO COMPRA]) + ([PREÇO VENDA] - ([EXERC. COMPRA]-[EXERC. VENDA]+0.01))</f>
        <v>-0.64000000000000257</v>
      </c>
      <c r="K6" s="53">
        <f>ROUNDDOWN([RISCO]/ABS([PERDA P/ OPÇÃO]), 0)</f>
        <v>468</v>
      </c>
      <c r="L6" s="53">
        <f>[QTDE TMP] - MOD([QTDE TMP], 100)</f>
        <v>400</v>
      </c>
      <c r="M6" s="52">
        <f>([QTDE]*[LUCRO P/ OPÇÃO]) - 60</f>
        <v>436</v>
      </c>
      <c r="N6" s="52">
        <f>[QTDE]*[PERDA P/ OPÇÃO] - 60</f>
        <v>-316.00000000000102</v>
      </c>
      <c r="O6" s="54">
        <f>[EXERC. VENDA]/[PREÇO AÇÃO]-1</f>
        <v>-7.0123456790123551E-2</v>
      </c>
      <c r="P6" s="55">
        <f>[LUCRO*]/ABS([PERDA*])</f>
        <v>1.3797468354430336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2">
        <f>[PREÇO VENDA]-[PREÇO COMPRA]</f>
        <v>0.48999999999999994</v>
      </c>
      <c r="J7" s="52">
        <f>(0.01 - [PREÇO COMPRA]) + ([PREÇO VENDA] - ([EXERC. COMPRA]-[EXERC. VENDA]+0.01))</f>
        <v>-0.39000000000000262</v>
      </c>
      <c r="K7" s="53">
        <f>ROUNDDOWN([RISCO]/ABS([PERDA P/ OPÇÃO]), 0)</f>
        <v>1025</v>
      </c>
      <c r="L7" s="53">
        <f>[QTDE TMP] - MOD([QTDE TMP], 100)</f>
        <v>1000</v>
      </c>
      <c r="M7" s="52">
        <f>([QTDE]*[LUCRO P/ OPÇÃO]) - 60</f>
        <v>429.99999999999994</v>
      </c>
      <c r="N7" s="52">
        <f>[QTDE]*[PERDA P/ OPÇÃO] - 60</f>
        <v>-450.00000000000261</v>
      </c>
      <c r="O7" s="54">
        <f>[EXERC. VENDA]/[PREÇO AÇÃO]-1</f>
        <v>-2.0740740740740837E-2</v>
      </c>
      <c r="P7" s="55">
        <f>[LUCRO*]/ABS([PERDA*])</f>
        <v>0.95555555555554983</v>
      </c>
    </row>
    <row r="8" spans="1:16">
      <c r="A8" s="7" t="s">
        <v>75</v>
      </c>
      <c r="B8" s="25">
        <v>200</v>
      </c>
      <c r="C8" s="25">
        <v>18.7</v>
      </c>
      <c r="D8" s="25">
        <v>16.829999999999998</v>
      </c>
      <c r="E8" s="25">
        <v>1.91</v>
      </c>
      <c r="F8" s="25">
        <v>17.829999999999998</v>
      </c>
      <c r="G8" s="25">
        <v>1.07</v>
      </c>
      <c r="H8" s="52">
        <f>([QTDE] * [PREÇO COMPRA]) + ([QTDE] * [PREÇO VENDA])</f>
        <v>3576</v>
      </c>
      <c r="I8" s="52">
        <f>[PREÇO VENDA]-[PREÇO COMPRA]</f>
        <v>0.83999999999999986</v>
      </c>
      <c r="J8" s="52">
        <f>(0.01 - [PREÇO COMPRA]) + ([PREÇO VENDA] - ([EXERC. COMPRA]-[EXERC. VENDA]+0.01))</f>
        <v>-0.16000000000000014</v>
      </c>
      <c r="K8" s="53">
        <f>ROUNDDOWN([RISCO]/ABS([PERDA P/ OPÇÃO]), 0)</f>
        <v>1250</v>
      </c>
      <c r="L8" s="53">
        <f>[QTDE TMP] - MOD([QTDE TMP], 100)</f>
        <v>1200</v>
      </c>
      <c r="M8" s="52">
        <f>([QTDE]*[LUCRO P/ OPÇÃO]) - 60</f>
        <v>947.99999999999977</v>
      </c>
      <c r="N8" s="52">
        <f>[QTDE]*[PERDA P/ OPÇÃO] - 60</f>
        <v>-252.00000000000017</v>
      </c>
      <c r="O8" s="54">
        <f>[EXERC. VENDA]/[PREÇO AÇÃO]-1</f>
        <v>-0.10000000000000009</v>
      </c>
      <c r="P8" s="55">
        <f>[LUCRO*]/ABS([PERDA*])</f>
        <v>3.7619047619047583</v>
      </c>
    </row>
    <row r="9" spans="1:16">
      <c r="A9" s="7" t="s">
        <v>75</v>
      </c>
      <c r="B9" s="25">
        <v>400</v>
      </c>
      <c r="C9" s="25">
        <v>17.89</v>
      </c>
      <c r="D9" s="25">
        <v>16</v>
      </c>
      <c r="E9" s="25">
        <v>2.16</v>
      </c>
      <c r="F9" s="25">
        <v>17</v>
      </c>
      <c r="G9" s="25">
        <v>1.42</v>
      </c>
      <c r="H9" s="52">
        <f>([QTDE] * [PREÇO COMPRA]) + ([QTDE] * [PREÇO VENDA])</f>
        <v>5370</v>
      </c>
      <c r="I9" s="52">
        <f>[PREÇO VENDA]-[PREÇO COMPRA]</f>
        <v>0.74000000000000021</v>
      </c>
      <c r="J9" s="52">
        <f>(0.01 - [PREÇO COMPRA]) + ([PREÇO VENDA] - ([EXERC. COMPRA]-[EXERC. VENDA]+0.01))</f>
        <v>-0.25999999999999979</v>
      </c>
      <c r="K9" s="53">
        <f>ROUNDDOWN([RISCO]/ABS([PERDA P/ OPÇÃO]), 0)</f>
        <v>1538</v>
      </c>
      <c r="L9" s="53">
        <f>[QTDE TMP] - MOD([QTDE TMP], 100)</f>
        <v>1500</v>
      </c>
      <c r="M9" s="52">
        <f>([QTDE]*[LUCRO P/ OPÇÃO]) - 60</f>
        <v>1050.0000000000002</v>
      </c>
      <c r="N9" s="52">
        <f>[QTDE]*[PERDA P/ OPÇÃO] - 60</f>
        <v>-449.99999999999966</v>
      </c>
      <c r="O9" s="54">
        <f>[EXERC. VENDA]/[PREÇO AÇÃO]-1</f>
        <v>-0.10564561207378431</v>
      </c>
      <c r="P9" s="55">
        <f>[LUCRO*]/ABS([PERDA*])</f>
        <v>2.3333333333333357</v>
      </c>
    </row>
    <row r="10" spans="1:16">
      <c r="A10" s="7" t="s">
        <v>75</v>
      </c>
      <c r="B10" s="25">
        <v>350</v>
      </c>
      <c r="C10" s="25">
        <v>17.89</v>
      </c>
      <c r="D10" s="25">
        <v>17</v>
      </c>
      <c r="E10" s="25">
        <v>1.41</v>
      </c>
      <c r="F10" s="25">
        <v>17.829999999999998</v>
      </c>
      <c r="G10" s="25">
        <v>0.87</v>
      </c>
      <c r="H10" s="75">
        <f>([QTDE] * [PREÇO COMPRA]) + ([QTDE] * [PREÇO VENDA])</f>
        <v>2736</v>
      </c>
      <c r="I10" s="75">
        <f>[PREÇO VENDA]-[PREÇO COMPRA]</f>
        <v>0.53999999999999992</v>
      </c>
      <c r="J10" s="75">
        <f>(0.01 - [PREÇO COMPRA]) + ([PREÇO VENDA] - ([EXERC. COMPRA]-[EXERC. VENDA]+0.01))</f>
        <v>-0.28999999999999837</v>
      </c>
      <c r="K10" s="76">
        <f>ROUNDDOWN([RISCO]/ABS([PERDA P/ OPÇÃO]), 0)</f>
        <v>1206</v>
      </c>
      <c r="L10" s="76">
        <f>[QTDE TMP] - MOD([QTDE TMP], 100)</f>
        <v>1200</v>
      </c>
      <c r="M10" s="75">
        <f>([QTDE]*[LUCRO P/ OPÇÃO]) - 60</f>
        <v>587.99999999999989</v>
      </c>
      <c r="N10" s="75">
        <f>[QTDE]*[PERDA P/ OPÇÃO] - 60</f>
        <v>-407.99999999999807</v>
      </c>
      <c r="O10" s="77">
        <f>[EXERC. VENDA]/[PREÇO AÇÃO]-1</f>
        <v>-4.9748462828395734E-2</v>
      </c>
      <c r="P10" s="78">
        <f>[LUCRO*]/ABS([PERDA*])</f>
        <v>1.4411764705882419</v>
      </c>
    </row>
    <row r="11" spans="1:16">
      <c r="A11" s="73" t="s">
        <v>15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3"/>
      <c r="P11" s="7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4" sqref="C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97</v>
      </c>
      <c r="C1" s="24" t="s">
        <v>98</v>
      </c>
      <c r="D1" s="26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93</v>
      </c>
      <c r="K1" s="26" t="s">
        <v>94</v>
      </c>
      <c r="L1" s="26" t="s">
        <v>95</v>
      </c>
      <c r="M1" s="26" t="s">
        <v>108</v>
      </c>
      <c r="N1" s="26" t="s">
        <v>69</v>
      </c>
      <c r="O1" s="26" t="s">
        <v>1</v>
      </c>
      <c r="P1" s="26" t="s">
        <v>107</v>
      </c>
      <c r="Q1" s="26" t="s">
        <v>106</v>
      </c>
      <c r="R1" s="26" t="s">
        <v>105</v>
      </c>
      <c r="S1" s="26" t="s">
        <v>87</v>
      </c>
      <c r="T1" s="26" t="s">
        <v>88</v>
      </c>
      <c r="U1" s="26" t="s">
        <v>92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([QTDE]*[PR CP 1] + [QTDE]*[PR CP 2])</f>
        <v>1519</v>
      </c>
      <c r="R2" s="25">
        <f>[QTDE]*[PR VD] * 2</f>
        <v>1428</v>
      </c>
      <c r="S2" s="39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8">
        <f>[LUCRO*]/ABS([PERDA*])</f>
        <v>2.8674033149171287</v>
      </c>
    </row>
    <row r="3" spans="1:22">
      <c r="A3" s="7" t="s">
        <v>89</v>
      </c>
      <c r="B3" s="25">
        <v>100</v>
      </c>
      <c r="C3" s="25">
        <v>37.08</v>
      </c>
      <c r="D3" s="25">
        <v>35.090000000000003</v>
      </c>
      <c r="E3" s="25">
        <v>2.13</v>
      </c>
      <c r="F3" s="25">
        <v>36.090000000000003</v>
      </c>
      <c r="G3" s="25">
        <v>1.32</v>
      </c>
      <c r="H3" s="25">
        <v>37.090000000000003</v>
      </c>
      <c r="I3" s="25">
        <v>0.68</v>
      </c>
      <c r="J3" s="51">
        <f>(([PR VD] - 0.01) * 2) + (([EX. VD] - [EX. CP 1] + 0.01) - [PR CP 1]) + (0.01 - [PR CP 2])</f>
        <v>0.83000000000000018</v>
      </c>
      <c r="K3" s="51">
        <f>(0.01 - [PR CP 1]) + (([PR VD] - 0.01) * 2) + (0.01 - [PR CP 2])</f>
        <v>-0.17000000000000004</v>
      </c>
      <c r="L3" s="51">
        <f>(([EX. CP 2] - [EX. CP 1] + 0.01) - [PR CP 1]) + (([PR VD] - ([EX. CP 2] - [EX. VD] + 0.01)) * 2) + (0.01 - [PR CP 2])</f>
        <v>-0.17000000000000004</v>
      </c>
      <c r="M3" s="51">
        <f>IF([PERDA 1] &gt; [PERDA 2], [PERDA 2], [PERDA 1])</f>
        <v>-0.17000000000000004</v>
      </c>
      <c r="N3" s="53">
        <f>ROUNDDOWN([BASE]/ABS([PERDA]), 0)</f>
        <v>588</v>
      </c>
      <c r="O3" s="53">
        <f>[QTDE TMP] - MOD([QTDE TMP], 100)</f>
        <v>500</v>
      </c>
      <c r="P3" s="53">
        <f>Tabela245[[#This Row],[QTDE]]*2</f>
        <v>1000</v>
      </c>
      <c r="Q3" s="52">
        <f>([QTDE]*[PR CP 1] + [QTDE]*[PR CP 2])</f>
        <v>1405</v>
      </c>
      <c r="R3" s="52">
        <f>[QTDE]*[PR VD] * 2</f>
        <v>1320</v>
      </c>
      <c r="S3" s="52">
        <f>([QTDE]*[LUCRO UNI.] - 90)</f>
        <v>325.00000000000011</v>
      </c>
      <c r="T3" s="51">
        <f>[QTDE]*[PERDA] - 90</f>
        <v>-175</v>
      </c>
      <c r="U3" s="54">
        <f>[EX. VD] / [PR. AÇÃO] - 1</f>
        <v>-2.6699029126213469E-2</v>
      </c>
      <c r="V3" s="55">
        <f>[LUCRO*]/ABS([PERDA*])</f>
        <v>1.8571428571428579</v>
      </c>
    </row>
    <row r="4" spans="1:22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1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114</v>
      </c>
      <c r="G1" s="58" t="s">
        <v>1</v>
      </c>
      <c r="H1" s="26" t="s">
        <v>81</v>
      </c>
      <c r="I1" s="26" t="s">
        <v>118</v>
      </c>
      <c r="J1" s="26" t="s">
        <v>119</v>
      </c>
      <c r="K1" s="26" t="s">
        <v>117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9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3">
        <v>1500</v>
      </c>
      <c r="H3" s="52">
        <f>-[RISCO]/[QTDE]</f>
        <v>-0.2</v>
      </c>
      <c r="I3" s="52">
        <f>[PR COMPRA] * [QTDE]</f>
        <v>600</v>
      </c>
      <c r="J3" s="64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4">
        <f>[EX. VENDA]/[PREÇO AÇÃO]-1</f>
        <v>-2.0740740740740837E-2</v>
      </c>
      <c r="O3" s="55">
        <f>[LUCRO*]/ABS([PERDA*])</f>
        <v>3.4000000000000137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3">
        <v>500</v>
      </c>
      <c r="H4" s="52">
        <f>-[RISCO]/[QTDE]</f>
        <v>-0.6</v>
      </c>
      <c r="I4" s="52">
        <f>[PR COMPRA] * [QTDE]</f>
        <v>225</v>
      </c>
      <c r="J4" s="64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4">
        <f>[EX. VENDA]/[PREÇO AÇÃO]-1</f>
        <v>-7.0123456790123551E-2</v>
      </c>
      <c r="O4" s="55">
        <f>[LUCRO*]/ABS([PERDA*])</f>
        <v>2.1333333333333377</v>
      </c>
    </row>
    <row r="5" spans="1:15">
      <c r="A5" s="40" t="s">
        <v>15</v>
      </c>
      <c r="B5" s="41"/>
      <c r="C5" s="41"/>
      <c r="D5" s="41"/>
      <c r="E5" s="41"/>
      <c r="F5" s="41"/>
      <c r="G5" s="60"/>
      <c r="H5" s="41"/>
      <c r="I5" s="62"/>
      <c r="J5" s="41"/>
      <c r="K5" s="41"/>
      <c r="L5" s="41"/>
      <c r="M5" s="41"/>
      <c r="N5" s="40"/>
      <c r="O5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1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117</v>
      </c>
      <c r="G1" s="26" t="s">
        <v>114</v>
      </c>
      <c r="H1" s="58" t="s">
        <v>1</v>
      </c>
      <c r="I1" s="26" t="s">
        <v>81</v>
      </c>
      <c r="J1" s="26" t="s">
        <v>122</v>
      </c>
      <c r="K1" s="26" t="s">
        <v>119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9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3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4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4">
        <f>[EX. VENDA]/[PREÇO AÇÃO]-1</f>
        <v>-2.0740740740740837E-2</v>
      </c>
      <c r="O3" s="55">
        <f>[LUCRO*]/ABS([PERDA*])</f>
        <v>1.6666666666666532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3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4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4">
        <f>[EX. VENDA]/[PREÇO AÇÃO]-1</f>
        <v>-7.0123456790123551E-2</v>
      </c>
      <c r="O4" s="55">
        <f>[LUCRO*]/ABS([PERDA*])</f>
        <v>2.0322580645161201</v>
      </c>
    </row>
    <row r="5" spans="1:15">
      <c r="A5" s="50" t="s">
        <v>75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3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4">
        <f>[PR VENDA]-[PR COMPRA]</f>
        <v>0.72</v>
      </c>
      <c r="L5" s="52">
        <f>([QTDE]*[LUCRO UNI])</f>
        <v>720</v>
      </c>
      <c r="M5" s="52">
        <f>[PERDA P/ OPÇÃO]*[QTDE]</f>
        <v>-280</v>
      </c>
      <c r="N5" s="54">
        <f>[EX. VENDA]/[PREÇO AÇÃO]-1</f>
        <v>-7.9504388229220568E-2</v>
      </c>
      <c r="O5" s="55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60"/>
      <c r="I6" s="41"/>
      <c r="J6" s="62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2" t="s">
        <v>7</v>
      </c>
      <c r="B1" s="72"/>
      <c r="C1" s="72" t="s">
        <v>8</v>
      </c>
      <c r="D1" s="72"/>
      <c r="E1" s="71" t="s">
        <v>9</v>
      </c>
      <c r="F1" s="71" t="s">
        <v>4</v>
      </c>
      <c r="G1" s="71" t="s">
        <v>10</v>
      </c>
      <c r="H1" s="71" t="s">
        <v>11</v>
      </c>
      <c r="I1" s="71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71"/>
      <c r="F2" s="71"/>
      <c r="G2" s="71"/>
      <c r="H2" s="71"/>
      <c r="I2" s="7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70" t="s">
        <v>26</v>
      </c>
      <c r="B4" s="70"/>
      <c r="C4" s="70"/>
      <c r="D4" s="70"/>
      <c r="E4" s="70"/>
      <c r="F4" s="70"/>
    </row>
    <row r="5" spans="1:9">
      <c r="A5" s="70" t="s">
        <v>7</v>
      </c>
      <c r="B5" s="70"/>
      <c r="C5" s="70"/>
      <c r="D5" s="70" t="s">
        <v>8</v>
      </c>
      <c r="E5" s="70"/>
      <c r="F5" s="70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2012-06-15T19:17:12Z</dcterms:modified>
</cp:coreProperties>
</file>