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240" yWindow="210" windowWidth="11790" windowHeight="5505"/>
  </bookViews>
  <sheets>
    <sheet name="VOLATILIDADE" sheetId="1" r:id="rId1"/>
    <sheet name="TRAVA" sheetId="3" r:id="rId2"/>
    <sheet name="TENDENCIA" sheetId="4" r:id="rId3"/>
    <sheet name="RESUMO DE PROTEÇÃO" sheetId="5" r:id="rId4"/>
    <sheet name="DIVISAO PATRIMONIO" sheetId="6" r:id="rId5"/>
    <sheet name="SETUP" sheetId="2" r:id="rId6"/>
  </sheets>
  <calcPr calcId="124519"/>
</workbook>
</file>

<file path=xl/calcChain.xml><?xml version="1.0" encoding="utf-8"?>
<calcChain xmlns="http://schemas.openxmlformats.org/spreadsheetml/2006/main">
  <c r="X2" i="3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B2" i="6"/>
  <c r="B3"/>
  <c r="B4"/>
  <c r="A4"/>
  <c r="A5"/>
  <c r="C4"/>
  <c r="D4"/>
  <c r="E4"/>
  <c r="F4"/>
  <c r="A2"/>
  <c r="A3"/>
  <c r="F2"/>
  <c r="F3"/>
  <c r="E2"/>
  <c r="E3"/>
  <c r="D2"/>
  <c r="D3"/>
  <c r="C2"/>
  <c r="C3"/>
  <c r="A31" i="5"/>
  <c r="D31"/>
  <c r="G31" i="4"/>
  <c r="H31"/>
  <c r="M31"/>
  <c r="N31"/>
  <c r="S31"/>
  <c r="T31"/>
  <c r="Y31"/>
  <c r="Z31"/>
  <c r="AA31"/>
  <c r="I31" s="1"/>
  <c r="AB31"/>
  <c r="F31" i="3"/>
  <c r="G31"/>
  <c r="L31"/>
  <c r="M31"/>
  <c r="R31"/>
  <c r="S31"/>
  <c r="V31"/>
  <c r="W31"/>
  <c r="H31" s="1"/>
  <c r="Z31"/>
  <c r="G31" i="1"/>
  <c r="L31"/>
  <c r="M31"/>
  <c r="R31"/>
  <c r="S31"/>
  <c r="V31"/>
  <c r="B31" i="5" s="1"/>
  <c r="E31" s="1"/>
  <c r="W31" i="1"/>
  <c r="V6"/>
  <c r="W6" s="1"/>
  <c r="V2"/>
  <c r="W2" s="1"/>
  <c r="V3"/>
  <c r="W3" s="1"/>
  <c r="V4"/>
  <c r="W4" s="1"/>
  <c r="V5"/>
  <c r="W5" s="1"/>
  <c r="V7"/>
  <c r="W7" s="1"/>
  <c r="V8"/>
  <c r="W8" s="1"/>
  <c r="V9"/>
  <c r="W9" s="1"/>
  <c r="V10"/>
  <c r="W10" s="1"/>
  <c r="V11"/>
  <c r="W11" s="1"/>
  <c r="V12"/>
  <c r="W12" s="1"/>
  <c r="V13"/>
  <c r="W13" s="1"/>
  <c r="V14"/>
  <c r="W14" s="1"/>
  <c r="V15"/>
  <c r="W15" s="1"/>
  <c r="V16"/>
  <c r="W16" s="1"/>
  <c r="V17"/>
  <c r="W17" s="1"/>
  <c r="V18"/>
  <c r="W18" s="1"/>
  <c r="V19"/>
  <c r="W19" s="1"/>
  <c r="V20"/>
  <c r="W20" s="1"/>
  <c r="V21"/>
  <c r="W21" s="1"/>
  <c r="V22"/>
  <c r="W22" s="1"/>
  <c r="V23"/>
  <c r="W23" s="1"/>
  <c r="V24"/>
  <c r="W24" s="1"/>
  <c r="V25"/>
  <c r="W25" s="1"/>
  <c r="V26"/>
  <c r="W26" s="1"/>
  <c r="V27"/>
  <c r="W27" s="1"/>
  <c r="V28"/>
  <c r="W28" s="1"/>
  <c r="V29"/>
  <c r="W29" s="1"/>
  <c r="V30"/>
  <c r="W30" s="1"/>
  <c r="G23" i="4"/>
  <c r="G24"/>
  <c r="G25"/>
  <c r="G26"/>
  <c r="G27"/>
  <c r="G28"/>
  <c r="G29"/>
  <c r="G30"/>
  <c r="M23"/>
  <c r="M24"/>
  <c r="M25"/>
  <c r="M26"/>
  <c r="M27"/>
  <c r="M28"/>
  <c r="M29"/>
  <c r="M30"/>
  <c r="N23"/>
  <c r="N24"/>
  <c r="N25"/>
  <c r="N26"/>
  <c r="N27"/>
  <c r="N28"/>
  <c r="N29"/>
  <c r="N30"/>
  <c r="S23"/>
  <c r="S24"/>
  <c r="S25"/>
  <c r="S26"/>
  <c r="S27"/>
  <c r="S28"/>
  <c r="S29"/>
  <c r="S30"/>
  <c r="T23"/>
  <c r="T24"/>
  <c r="T25"/>
  <c r="T26"/>
  <c r="T27"/>
  <c r="T28"/>
  <c r="T29"/>
  <c r="T30"/>
  <c r="Y23"/>
  <c r="Y24"/>
  <c r="Y25"/>
  <c r="Y26"/>
  <c r="Y27"/>
  <c r="Y28"/>
  <c r="Y29"/>
  <c r="Y30"/>
  <c r="Z23"/>
  <c r="Z24"/>
  <c r="Z25"/>
  <c r="Z26"/>
  <c r="Z27"/>
  <c r="Z28"/>
  <c r="Z29"/>
  <c r="Z30"/>
  <c r="AA23"/>
  <c r="AA24"/>
  <c r="AA25"/>
  <c r="AA26"/>
  <c r="AA27"/>
  <c r="AA28"/>
  <c r="AA29"/>
  <c r="AA30"/>
  <c r="AB23"/>
  <c r="AB24"/>
  <c r="AB25"/>
  <c r="AB26"/>
  <c r="AB27"/>
  <c r="AB28"/>
  <c r="AB29"/>
  <c r="AB30"/>
  <c r="A27" i="5"/>
  <c r="D27"/>
  <c r="A28"/>
  <c r="D28"/>
  <c r="A29"/>
  <c r="D29"/>
  <c r="A30"/>
  <c r="D30"/>
  <c r="A23"/>
  <c r="D23"/>
  <c r="A24"/>
  <c r="D24"/>
  <c r="A25"/>
  <c r="D25"/>
  <c r="A26"/>
  <c r="D26"/>
  <c r="V2" i="3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X31" i="1" l="1"/>
  <c r="F31" i="5" s="1"/>
  <c r="H31" i="1"/>
  <c r="J31" i="4"/>
  <c r="K31"/>
  <c r="L31"/>
  <c r="P31"/>
  <c r="Q31"/>
  <c r="R31"/>
  <c r="W31"/>
  <c r="X31" s="1"/>
  <c r="AC31"/>
  <c r="I31" i="3"/>
  <c r="J31"/>
  <c r="K31"/>
  <c r="O31"/>
  <c r="P31"/>
  <c r="Q31"/>
  <c r="Y31"/>
  <c r="I31" i="1"/>
  <c r="J31"/>
  <c r="K31"/>
  <c r="O31"/>
  <c r="P31"/>
  <c r="Q31"/>
  <c r="Y31"/>
  <c r="G31" i="5" s="1"/>
  <c r="Z2" i="3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H31" i="5" l="1"/>
  <c r="I31"/>
  <c r="J31" s="1"/>
  <c r="Z31" i="1"/>
  <c r="U31" i="4"/>
  <c r="O31"/>
  <c r="T31" i="3"/>
  <c r="N31"/>
  <c r="T31" i="1"/>
  <c r="N31"/>
  <c r="V31" i="4" l="1"/>
  <c r="U31" i="3"/>
  <c r="U31" i="1"/>
  <c r="L23" i="3" l="1"/>
  <c r="L24"/>
  <c r="L25"/>
  <c r="L26"/>
  <c r="L27"/>
  <c r="L28"/>
  <c r="L29"/>
  <c r="L30"/>
  <c r="M23"/>
  <c r="M24"/>
  <c r="M25"/>
  <c r="M26"/>
  <c r="M27"/>
  <c r="M28"/>
  <c r="M29"/>
  <c r="M30"/>
  <c r="R23"/>
  <c r="R24"/>
  <c r="R25"/>
  <c r="R26"/>
  <c r="R27"/>
  <c r="R28"/>
  <c r="R29"/>
  <c r="R30"/>
  <c r="S23"/>
  <c r="S24"/>
  <c r="S25"/>
  <c r="S26"/>
  <c r="S27"/>
  <c r="S28"/>
  <c r="S29"/>
  <c r="S30"/>
  <c r="W23"/>
  <c r="W24"/>
  <c r="W25"/>
  <c r="W26"/>
  <c r="W27"/>
  <c r="W28"/>
  <c r="W29"/>
  <c r="W30"/>
  <c r="L30" i="1" l="1"/>
  <c r="M30"/>
  <c r="R30"/>
  <c r="S30"/>
  <c r="L29"/>
  <c r="M29"/>
  <c r="R29"/>
  <c r="S29"/>
  <c r="L23" l="1"/>
  <c r="L24"/>
  <c r="L25"/>
  <c r="L26"/>
  <c r="L27"/>
  <c r="L28"/>
  <c r="M23"/>
  <c r="M24"/>
  <c r="M25"/>
  <c r="M26"/>
  <c r="M27"/>
  <c r="M28"/>
  <c r="R23"/>
  <c r="R24"/>
  <c r="R25"/>
  <c r="R26"/>
  <c r="R27"/>
  <c r="R28"/>
  <c r="S23"/>
  <c r="S24"/>
  <c r="S25"/>
  <c r="S26"/>
  <c r="S27"/>
  <c r="S28"/>
  <c r="A17" i="5"/>
  <c r="D17"/>
  <c r="A18"/>
  <c r="D18"/>
  <c r="A19"/>
  <c r="D19"/>
  <c r="A20"/>
  <c r="D20"/>
  <c r="A21"/>
  <c r="D21"/>
  <c r="A22"/>
  <c r="D22"/>
  <c r="L17" i="3"/>
  <c r="L18"/>
  <c r="L19"/>
  <c r="L20"/>
  <c r="L21"/>
  <c r="L22"/>
  <c r="M17"/>
  <c r="M18"/>
  <c r="M19"/>
  <c r="M20"/>
  <c r="M21"/>
  <c r="M22"/>
  <c r="R17"/>
  <c r="R18"/>
  <c r="R19"/>
  <c r="R20"/>
  <c r="R21"/>
  <c r="R22"/>
  <c r="S17"/>
  <c r="S18"/>
  <c r="S19"/>
  <c r="S20"/>
  <c r="S21"/>
  <c r="S22"/>
  <c r="W17"/>
  <c r="W18"/>
  <c r="W19"/>
  <c r="W20"/>
  <c r="W21"/>
  <c r="W22"/>
  <c r="G17" i="4"/>
  <c r="G18"/>
  <c r="G19"/>
  <c r="G20"/>
  <c r="G21"/>
  <c r="G22"/>
  <c r="M17"/>
  <c r="M18"/>
  <c r="M19"/>
  <c r="M20"/>
  <c r="M21"/>
  <c r="M22"/>
  <c r="N17"/>
  <c r="N18"/>
  <c r="N19"/>
  <c r="N20"/>
  <c r="N21"/>
  <c r="N22"/>
  <c r="S17"/>
  <c r="S18"/>
  <c r="S19"/>
  <c r="S20"/>
  <c r="S21"/>
  <c r="S22"/>
  <c r="T17"/>
  <c r="T18"/>
  <c r="T19"/>
  <c r="T20"/>
  <c r="T21"/>
  <c r="T22"/>
  <c r="Y17"/>
  <c r="Y18"/>
  <c r="Y19"/>
  <c r="Y20"/>
  <c r="Y21"/>
  <c r="Y22"/>
  <c r="Z17"/>
  <c r="Z18"/>
  <c r="Z19"/>
  <c r="Z20"/>
  <c r="Z21"/>
  <c r="Z22"/>
  <c r="AA17"/>
  <c r="AA18"/>
  <c r="AA19"/>
  <c r="AA20"/>
  <c r="AA21"/>
  <c r="AA22"/>
  <c r="AB17"/>
  <c r="AB18"/>
  <c r="AB19"/>
  <c r="AB20"/>
  <c r="AB21"/>
  <c r="AB22"/>
  <c r="L17" i="1"/>
  <c r="L18"/>
  <c r="L19"/>
  <c r="L20"/>
  <c r="L21"/>
  <c r="L22"/>
  <c r="M17"/>
  <c r="M18"/>
  <c r="M19"/>
  <c r="M20"/>
  <c r="M21"/>
  <c r="M22"/>
  <c r="R17"/>
  <c r="R18"/>
  <c r="R19"/>
  <c r="R20"/>
  <c r="R21"/>
  <c r="R22"/>
  <c r="S17"/>
  <c r="S18"/>
  <c r="S19"/>
  <c r="S20"/>
  <c r="S21"/>
  <c r="S22"/>
  <c r="A11" i="5"/>
  <c r="D11"/>
  <c r="A12"/>
  <c r="D12"/>
  <c r="A13"/>
  <c r="D13"/>
  <c r="A14"/>
  <c r="D14"/>
  <c r="A15"/>
  <c r="D15"/>
  <c r="A16"/>
  <c r="D16"/>
  <c r="L11" i="3"/>
  <c r="L12"/>
  <c r="L13"/>
  <c r="L14"/>
  <c r="L15"/>
  <c r="L16"/>
  <c r="M11"/>
  <c r="M12"/>
  <c r="M13"/>
  <c r="M14"/>
  <c r="M15"/>
  <c r="M16"/>
  <c r="R11"/>
  <c r="R12"/>
  <c r="R13"/>
  <c r="R14"/>
  <c r="R15"/>
  <c r="R16"/>
  <c r="S11"/>
  <c r="S12"/>
  <c r="S13"/>
  <c r="S14"/>
  <c r="S15"/>
  <c r="S16"/>
  <c r="W11"/>
  <c r="W12"/>
  <c r="W13"/>
  <c r="W14"/>
  <c r="W15"/>
  <c r="W16"/>
  <c r="G11" i="4"/>
  <c r="G12"/>
  <c r="G13"/>
  <c r="G14"/>
  <c r="G15"/>
  <c r="G16"/>
  <c r="M11"/>
  <c r="M12"/>
  <c r="M13"/>
  <c r="M14"/>
  <c r="M15"/>
  <c r="M16"/>
  <c r="N11"/>
  <c r="N12"/>
  <c r="N13"/>
  <c r="N14"/>
  <c r="N15"/>
  <c r="N16"/>
  <c r="S11"/>
  <c r="S12"/>
  <c r="S13"/>
  <c r="S14"/>
  <c r="S15"/>
  <c r="S16"/>
  <c r="T11"/>
  <c r="T12"/>
  <c r="T13"/>
  <c r="T14"/>
  <c r="T15"/>
  <c r="T16"/>
  <c r="Y11"/>
  <c r="Y12"/>
  <c r="Y13"/>
  <c r="Y14"/>
  <c r="Y15"/>
  <c r="Y16"/>
  <c r="Z11"/>
  <c r="Z12"/>
  <c r="Z13"/>
  <c r="Z14"/>
  <c r="Z15"/>
  <c r="Z16"/>
  <c r="AA11"/>
  <c r="AA12"/>
  <c r="AA13"/>
  <c r="AA14"/>
  <c r="AA15"/>
  <c r="AA16"/>
  <c r="AB11"/>
  <c r="AB12"/>
  <c r="AB13"/>
  <c r="AB14"/>
  <c r="AB15"/>
  <c r="AB16"/>
  <c r="L11" i="1"/>
  <c r="L12"/>
  <c r="L13"/>
  <c r="L14"/>
  <c r="L15"/>
  <c r="L16"/>
  <c r="M11"/>
  <c r="M12"/>
  <c r="M13"/>
  <c r="M14"/>
  <c r="M15"/>
  <c r="M16"/>
  <c r="R11"/>
  <c r="R12"/>
  <c r="R13"/>
  <c r="R14"/>
  <c r="R15"/>
  <c r="R16"/>
  <c r="S11"/>
  <c r="S12"/>
  <c r="S13"/>
  <c r="S14"/>
  <c r="S15"/>
  <c r="S16"/>
  <c r="A6" i="5"/>
  <c r="D6"/>
  <c r="A7"/>
  <c r="D7"/>
  <c r="A8"/>
  <c r="D8"/>
  <c r="A9"/>
  <c r="D9"/>
  <c r="A10"/>
  <c r="D10"/>
  <c r="G10" i="4"/>
  <c r="M10"/>
  <c r="N10"/>
  <c r="S10"/>
  <c r="T10"/>
  <c r="Y10"/>
  <c r="Z10"/>
  <c r="AA10"/>
  <c r="AB10"/>
  <c r="G5"/>
  <c r="G6"/>
  <c r="G7"/>
  <c r="G8"/>
  <c r="G9"/>
  <c r="M5"/>
  <c r="M6"/>
  <c r="M7"/>
  <c r="M8"/>
  <c r="M9"/>
  <c r="N5"/>
  <c r="N6"/>
  <c r="N7"/>
  <c r="N8"/>
  <c r="N9"/>
  <c r="S5"/>
  <c r="S6"/>
  <c r="S7"/>
  <c r="S8"/>
  <c r="S9"/>
  <c r="T5"/>
  <c r="T6"/>
  <c r="T7"/>
  <c r="T8"/>
  <c r="T9"/>
  <c r="Y5"/>
  <c r="Y6"/>
  <c r="Y7"/>
  <c r="Y8"/>
  <c r="Y9"/>
  <c r="Z5"/>
  <c r="Z6"/>
  <c r="Z7"/>
  <c r="Z8"/>
  <c r="Z9"/>
  <c r="AA5"/>
  <c r="AA6"/>
  <c r="AA7"/>
  <c r="AA8"/>
  <c r="AA9"/>
  <c r="AB5"/>
  <c r="AB6"/>
  <c r="AB7"/>
  <c r="AB8"/>
  <c r="AB9"/>
  <c r="A5" i="5"/>
  <c r="D5"/>
  <c r="L10" i="3"/>
  <c r="M10"/>
  <c r="R10"/>
  <c r="S10"/>
  <c r="W10"/>
  <c r="L6"/>
  <c r="L7"/>
  <c r="L8"/>
  <c r="L9"/>
  <c r="M6"/>
  <c r="M7"/>
  <c r="M8"/>
  <c r="M9"/>
  <c r="R6"/>
  <c r="R7"/>
  <c r="R8"/>
  <c r="R9"/>
  <c r="S6"/>
  <c r="S7"/>
  <c r="S8"/>
  <c r="S9"/>
  <c r="W6"/>
  <c r="W7"/>
  <c r="W8"/>
  <c r="W9"/>
  <c r="L5"/>
  <c r="M5"/>
  <c r="R5"/>
  <c r="S5"/>
  <c r="W5"/>
  <c r="D4" i="5" l="1"/>
  <c r="G4" i="4"/>
  <c r="M4"/>
  <c r="N4"/>
  <c r="S4"/>
  <c r="T4"/>
  <c r="Y4"/>
  <c r="Z4"/>
  <c r="AA4"/>
  <c r="AB4"/>
  <c r="A4" i="5"/>
  <c r="D3"/>
  <c r="D2"/>
  <c r="G4" i="3"/>
  <c r="L4"/>
  <c r="M4"/>
  <c r="R4"/>
  <c r="S4"/>
  <c r="W4"/>
  <c r="A3" i="5"/>
  <c r="A2"/>
  <c r="G23" i="3" l="1"/>
  <c r="G24"/>
  <c r="G25"/>
  <c r="G26"/>
  <c r="G27"/>
  <c r="G28"/>
  <c r="G29"/>
  <c r="G30"/>
  <c r="G17"/>
  <c r="G18"/>
  <c r="G19"/>
  <c r="G20"/>
  <c r="G21"/>
  <c r="G22"/>
  <c r="G10"/>
  <c r="G11"/>
  <c r="G12"/>
  <c r="G13"/>
  <c r="G14"/>
  <c r="G15"/>
  <c r="G16"/>
  <c r="G5"/>
  <c r="G6"/>
  <c r="G7"/>
  <c r="G8"/>
  <c r="G9"/>
  <c r="Y2" i="4" l="1"/>
  <c r="Y3"/>
  <c r="M3" l="1"/>
  <c r="N3"/>
  <c r="S3"/>
  <c r="T3"/>
  <c r="Z3"/>
  <c r="G2"/>
  <c r="H23" l="1"/>
  <c r="H24"/>
  <c r="H25"/>
  <c r="H26"/>
  <c r="H27"/>
  <c r="H28"/>
  <c r="H29"/>
  <c r="H30"/>
  <c r="H17"/>
  <c r="H18"/>
  <c r="H19"/>
  <c r="H20"/>
  <c r="H21"/>
  <c r="H22"/>
  <c r="H10"/>
  <c r="H11"/>
  <c r="H12"/>
  <c r="H13"/>
  <c r="H14"/>
  <c r="H15"/>
  <c r="H16"/>
  <c r="H4"/>
  <c r="H5"/>
  <c r="H6"/>
  <c r="H7"/>
  <c r="H8"/>
  <c r="H9"/>
  <c r="H3"/>
  <c r="AA3"/>
  <c r="AB3"/>
  <c r="L10" i="1"/>
  <c r="M10"/>
  <c r="R10"/>
  <c r="S10"/>
  <c r="L6"/>
  <c r="L7"/>
  <c r="L8"/>
  <c r="L9"/>
  <c r="M6"/>
  <c r="M7"/>
  <c r="M8"/>
  <c r="M9"/>
  <c r="R6"/>
  <c r="R7"/>
  <c r="R8"/>
  <c r="R9"/>
  <c r="S6"/>
  <c r="S7"/>
  <c r="S8"/>
  <c r="S9"/>
  <c r="L5"/>
  <c r="M5"/>
  <c r="R5"/>
  <c r="S5"/>
  <c r="L4"/>
  <c r="M4"/>
  <c r="R4"/>
  <c r="S4"/>
  <c r="G3" i="3"/>
  <c r="Z2" i="4"/>
  <c r="T2"/>
  <c r="S2"/>
  <c r="N2"/>
  <c r="M2"/>
  <c r="H2"/>
  <c r="S3" i="3"/>
  <c r="R3"/>
  <c r="M3"/>
  <c r="L3"/>
  <c r="S2"/>
  <c r="R2"/>
  <c r="M2"/>
  <c r="L2"/>
  <c r="G29" i="1" l="1"/>
  <c r="G30"/>
  <c r="G23"/>
  <c r="G24"/>
  <c r="G25"/>
  <c r="G26"/>
  <c r="G27"/>
  <c r="G28"/>
  <c r="G17"/>
  <c r="G18"/>
  <c r="G19"/>
  <c r="G20"/>
  <c r="G21"/>
  <c r="G22"/>
  <c r="G11"/>
  <c r="G12"/>
  <c r="G13"/>
  <c r="G14"/>
  <c r="G15"/>
  <c r="G16"/>
  <c r="F32"/>
  <c r="G2"/>
  <c r="G2" i="3"/>
  <c r="AA2" i="4"/>
  <c r="I16" s="1"/>
  <c r="AB2"/>
  <c r="W2" i="3"/>
  <c r="W3"/>
  <c r="I23" i="4" l="1"/>
  <c r="I24"/>
  <c r="I25"/>
  <c r="I26"/>
  <c r="I27"/>
  <c r="I28"/>
  <c r="I29"/>
  <c r="I30"/>
  <c r="I17"/>
  <c r="I18"/>
  <c r="I19"/>
  <c r="I20"/>
  <c r="I21"/>
  <c r="I22"/>
  <c r="H30" i="3"/>
  <c r="Y30" s="1"/>
  <c r="H29"/>
  <c r="Y29" s="1"/>
  <c r="H28"/>
  <c r="Y28" s="1"/>
  <c r="H27"/>
  <c r="Y27" s="1"/>
  <c r="H26"/>
  <c r="Y26" s="1"/>
  <c r="H25"/>
  <c r="Y25" s="1"/>
  <c r="H24"/>
  <c r="Y24" s="1"/>
  <c r="H23"/>
  <c r="Y23" s="1"/>
  <c r="H22"/>
  <c r="Y22" s="1"/>
  <c r="H21"/>
  <c r="Y21" s="1"/>
  <c r="H20"/>
  <c r="Y20" s="1"/>
  <c r="H19"/>
  <c r="Y19" s="1"/>
  <c r="H18"/>
  <c r="Y18" s="1"/>
  <c r="H17"/>
  <c r="Y17" s="1"/>
  <c r="H16"/>
  <c r="Y16" s="1"/>
  <c r="H15"/>
  <c r="Y15" s="1"/>
  <c r="H14"/>
  <c r="Y14" s="1"/>
  <c r="H13"/>
  <c r="Y13" s="1"/>
  <c r="H12"/>
  <c r="Y12" s="1"/>
  <c r="H11"/>
  <c r="Y11" s="1"/>
  <c r="J16" i="4"/>
  <c r="K16"/>
  <c r="L16"/>
  <c r="P16"/>
  <c r="Q16"/>
  <c r="R16"/>
  <c r="W16"/>
  <c r="X16" s="1"/>
  <c r="AC16"/>
  <c r="I11"/>
  <c r="I12"/>
  <c r="I13"/>
  <c r="I14"/>
  <c r="I15"/>
  <c r="H10" i="3"/>
  <c r="Y10" s="1"/>
  <c r="I4" i="4"/>
  <c r="I10"/>
  <c r="I5"/>
  <c r="I6"/>
  <c r="I7"/>
  <c r="I8"/>
  <c r="I9"/>
  <c r="J4"/>
  <c r="K4"/>
  <c r="L4"/>
  <c r="P4"/>
  <c r="Q4"/>
  <c r="R4"/>
  <c r="W4"/>
  <c r="X4" s="1"/>
  <c r="AC4"/>
  <c r="H9" i="3"/>
  <c r="Y9" s="1"/>
  <c r="H8"/>
  <c r="Y8" s="1"/>
  <c r="H7"/>
  <c r="Y7" s="1"/>
  <c r="H6"/>
  <c r="Y6" s="1"/>
  <c r="H5"/>
  <c r="Y5" s="1"/>
  <c r="H4"/>
  <c r="Y4" s="1"/>
  <c r="I2" i="4"/>
  <c r="I3"/>
  <c r="H3" i="3"/>
  <c r="Y3" s="1"/>
  <c r="G8" i="1"/>
  <c r="G10"/>
  <c r="G7"/>
  <c r="G6"/>
  <c r="G9"/>
  <c r="G4"/>
  <c r="G5"/>
  <c r="H2" i="3"/>
  <c r="Y2" s="1"/>
  <c r="W2" i="4"/>
  <c r="X2" s="1"/>
  <c r="K2"/>
  <c r="R2"/>
  <c r="J2"/>
  <c r="Q2"/>
  <c r="P2"/>
  <c r="L2"/>
  <c r="AC2"/>
  <c r="P3" i="3"/>
  <c r="O3"/>
  <c r="K3"/>
  <c r="J3"/>
  <c r="Q3"/>
  <c r="I3"/>
  <c r="L3" i="1"/>
  <c r="M3"/>
  <c r="R3"/>
  <c r="S3"/>
  <c r="J30" i="4" l="1"/>
  <c r="K30"/>
  <c r="L30"/>
  <c r="P30"/>
  <c r="Q30"/>
  <c r="R30"/>
  <c r="W30"/>
  <c r="X30" s="1"/>
  <c r="AC30"/>
  <c r="J29"/>
  <c r="K29"/>
  <c r="L29"/>
  <c r="P29"/>
  <c r="Q29"/>
  <c r="R29"/>
  <c r="W29"/>
  <c r="X29" s="1"/>
  <c r="AC29"/>
  <c r="J28"/>
  <c r="K28"/>
  <c r="L28"/>
  <c r="P28"/>
  <c r="Q28"/>
  <c r="R28"/>
  <c r="W28"/>
  <c r="X28" s="1"/>
  <c r="AC28"/>
  <c r="J27"/>
  <c r="K27"/>
  <c r="L27"/>
  <c r="P27"/>
  <c r="Q27"/>
  <c r="R27"/>
  <c r="W27"/>
  <c r="X27" s="1"/>
  <c r="AC27"/>
  <c r="J26"/>
  <c r="K26"/>
  <c r="L26"/>
  <c r="P26"/>
  <c r="Q26"/>
  <c r="R26"/>
  <c r="W26"/>
  <c r="X26" s="1"/>
  <c r="AC26"/>
  <c r="J25"/>
  <c r="K25"/>
  <c r="L25"/>
  <c r="P25"/>
  <c r="Q25"/>
  <c r="R25"/>
  <c r="W25"/>
  <c r="X25" s="1"/>
  <c r="AC25"/>
  <c r="J24"/>
  <c r="K24"/>
  <c r="L24"/>
  <c r="P24"/>
  <c r="Q24"/>
  <c r="R24"/>
  <c r="W24"/>
  <c r="X24" s="1"/>
  <c r="AC24"/>
  <c r="J23"/>
  <c r="K23"/>
  <c r="L23"/>
  <c r="P23"/>
  <c r="Q23"/>
  <c r="R23"/>
  <c r="W23"/>
  <c r="X23" s="1"/>
  <c r="AC23"/>
  <c r="J22"/>
  <c r="K22"/>
  <c r="L22"/>
  <c r="P22"/>
  <c r="Q22"/>
  <c r="R22"/>
  <c r="W22"/>
  <c r="X22" s="1"/>
  <c r="AC22"/>
  <c r="J21"/>
  <c r="K21"/>
  <c r="L21"/>
  <c r="P21"/>
  <c r="Q21"/>
  <c r="R21"/>
  <c r="W21"/>
  <c r="X21" s="1"/>
  <c r="AC21"/>
  <c r="J20"/>
  <c r="K20"/>
  <c r="L20"/>
  <c r="P20"/>
  <c r="Q20"/>
  <c r="R20"/>
  <c r="W20"/>
  <c r="X20" s="1"/>
  <c r="AC20"/>
  <c r="J19"/>
  <c r="K19"/>
  <c r="L19"/>
  <c r="P19"/>
  <c r="Q19"/>
  <c r="R19"/>
  <c r="W19"/>
  <c r="X19" s="1"/>
  <c r="AC19"/>
  <c r="J18"/>
  <c r="K18"/>
  <c r="L18"/>
  <c r="P18"/>
  <c r="Q18"/>
  <c r="R18"/>
  <c r="W18"/>
  <c r="X18" s="1"/>
  <c r="AC18"/>
  <c r="J17"/>
  <c r="K17"/>
  <c r="L17"/>
  <c r="P17"/>
  <c r="Q17"/>
  <c r="R17"/>
  <c r="W17"/>
  <c r="X17" s="1"/>
  <c r="AC17"/>
  <c r="I23" i="3"/>
  <c r="J23"/>
  <c r="K23"/>
  <c r="O23"/>
  <c r="P23"/>
  <c r="Q23"/>
  <c r="I24"/>
  <c r="J24"/>
  <c r="K24"/>
  <c r="O24"/>
  <c r="P24"/>
  <c r="Q24"/>
  <c r="I25"/>
  <c r="J25"/>
  <c r="K25"/>
  <c r="O25"/>
  <c r="P25"/>
  <c r="Q25"/>
  <c r="I26"/>
  <c r="J26"/>
  <c r="K26"/>
  <c r="O26"/>
  <c r="P26"/>
  <c r="Q26"/>
  <c r="I27"/>
  <c r="J27"/>
  <c r="K27"/>
  <c r="O27"/>
  <c r="P27"/>
  <c r="Q27"/>
  <c r="I28"/>
  <c r="J28"/>
  <c r="K28"/>
  <c r="O28"/>
  <c r="P28"/>
  <c r="Q28"/>
  <c r="I29"/>
  <c r="J29"/>
  <c r="K29"/>
  <c r="O29"/>
  <c r="P29"/>
  <c r="Q29"/>
  <c r="I30"/>
  <c r="J30"/>
  <c r="K30"/>
  <c r="O30"/>
  <c r="P30"/>
  <c r="Q30"/>
  <c r="I17"/>
  <c r="J17"/>
  <c r="K17"/>
  <c r="O17"/>
  <c r="P17"/>
  <c r="Q17"/>
  <c r="I18"/>
  <c r="J18"/>
  <c r="K18"/>
  <c r="O18"/>
  <c r="P18"/>
  <c r="Q18"/>
  <c r="I19"/>
  <c r="J19"/>
  <c r="K19"/>
  <c r="O19"/>
  <c r="P19"/>
  <c r="Q19"/>
  <c r="I20"/>
  <c r="J20"/>
  <c r="K20"/>
  <c r="O20"/>
  <c r="P20"/>
  <c r="Q20"/>
  <c r="I21"/>
  <c r="J21"/>
  <c r="K21"/>
  <c r="O21"/>
  <c r="P21"/>
  <c r="Q21"/>
  <c r="I22"/>
  <c r="J22"/>
  <c r="K22"/>
  <c r="O22"/>
  <c r="P22"/>
  <c r="Q22"/>
  <c r="I11"/>
  <c r="J11"/>
  <c r="K11"/>
  <c r="O11"/>
  <c r="P11"/>
  <c r="Q11"/>
  <c r="I12"/>
  <c r="J12"/>
  <c r="K12"/>
  <c r="O12"/>
  <c r="P12"/>
  <c r="Q12"/>
  <c r="I13"/>
  <c r="J13"/>
  <c r="K13"/>
  <c r="O13"/>
  <c r="P13"/>
  <c r="Q13"/>
  <c r="I14"/>
  <c r="J14"/>
  <c r="K14"/>
  <c r="O14"/>
  <c r="P14"/>
  <c r="Q14"/>
  <c r="I15"/>
  <c r="J15"/>
  <c r="K15"/>
  <c r="O15"/>
  <c r="P15"/>
  <c r="Q15"/>
  <c r="I16"/>
  <c r="J16"/>
  <c r="K16"/>
  <c r="O16"/>
  <c r="P16"/>
  <c r="Q16"/>
  <c r="J15" i="4"/>
  <c r="K15"/>
  <c r="L15"/>
  <c r="P15"/>
  <c r="Q15"/>
  <c r="R15"/>
  <c r="W15"/>
  <c r="X15" s="1"/>
  <c r="AC15"/>
  <c r="J14"/>
  <c r="K14"/>
  <c r="L14"/>
  <c r="P14"/>
  <c r="Q14"/>
  <c r="R14"/>
  <c r="W14"/>
  <c r="X14" s="1"/>
  <c r="AC14"/>
  <c r="J13"/>
  <c r="K13"/>
  <c r="L13"/>
  <c r="P13"/>
  <c r="Q13"/>
  <c r="R13"/>
  <c r="W13"/>
  <c r="X13" s="1"/>
  <c r="AC13"/>
  <c r="J12"/>
  <c r="K12"/>
  <c r="L12"/>
  <c r="P12"/>
  <c r="Q12"/>
  <c r="R12"/>
  <c r="W12"/>
  <c r="X12" s="1"/>
  <c r="AC12"/>
  <c r="J11"/>
  <c r="K11"/>
  <c r="L11"/>
  <c r="P11"/>
  <c r="Q11"/>
  <c r="R11"/>
  <c r="W11"/>
  <c r="X11" s="1"/>
  <c r="AC11"/>
  <c r="U16"/>
  <c r="O16"/>
  <c r="I10" i="3"/>
  <c r="J10"/>
  <c r="K10"/>
  <c r="O10"/>
  <c r="P10"/>
  <c r="Q10"/>
  <c r="J10" i="4"/>
  <c r="K10"/>
  <c r="L10"/>
  <c r="P10"/>
  <c r="Q10"/>
  <c r="R10"/>
  <c r="W10"/>
  <c r="X10" s="1"/>
  <c r="AC10"/>
  <c r="J9"/>
  <c r="K9"/>
  <c r="L9"/>
  <c r="P9"/>
  <c r="Q9"/>
  <c r="R9"/>
  <c r="W9"/>
  <c r="X9" s="1"/>
  <c r="AC9"/>
  <c r="J8"/>
  <c r="K8"/>
  <c r="L8"/>
  <c r="P8"/>
  <c r="Q8"/>
  <c r="R8"/>
  <c r="W8"/>
  <c r="X8" s="1"/>
  <c r="AC8"/>
  <c r="J7"/>
  <c r="K7"/>
  <c r="L7"/>
  <c r="P7"/>
  <c r="Q7"/>
  <c r="R7"/>
  <c r="W7"/>
  <c r="X7" s="1"/>
  <c r="AC7"/>
  <c r="J6"/>
  <c r="K6"/>
  <c r="L6"/>
  <c r="P6"/>
  <c r="Q6"/>
  <c r="R6"/>
  <c r="W6"/>
  <c r="X6" s="1"/>
  <c r="AC6"/>
  <c r="J5"/>
  <c r="K5"/>
  <c r="L5"/>
  <c r="P5"/>
  <c r="Q5"/>
  <c r="R5"/>
  <c r="W5"/>
  <c r="X5" s="1"/>
  <c r="AC5"/>
  <c r="U4"/>
  <c r="O4"/>
  <c r="I6" i="3"/>
  <c r="J6"/>
  <c r="K6"/>
  <c r="O6"/>
  <c r="P6"/>
  <c r="Q6"/>
  <c r="I7"/>
  <c r="J7"/>
  <c r="K7"/>
  <c r="O7"/>
  <c r="P7"/>
  <c r="Q7"/>
  <c r="I8"/>
  <c r="J8"/>
  <c r="K8"/>
  <c r="O8"/>
  <c r="P8"/>
  <c r="Q8"/>
  <c r="I9"/>
  <c r="J9"/>
  <c r="K9"/>
  <c r="O9"/>
  <c r="P9"/>
  <c r="Q9"/>
  <c r="I5"/>
  <c r="J5"/>
  <c r="K5"/>
  <c r="O5"/>
  <c r="P5"/>
  <c r="Q5"/>
  <c r="I4"/>
  <c r="J4"/>
  <c r="K4"/>
  <c r="O4"/>
  <c r="P4"/>
  <c r="Q4"/>
  <c r="K3" i="4"/>
  <c r="W3"/>
  <c r="X3" s="1"/>
  <c r="Q3"/>
  <c r="L3"/>
  <c r="P3"/>
  <c r="J3"/>
  <c r="O3" s="1"/>
  <c r="R3"/>
  <c r="AC3"/>
  <c r="O2"/>
  <c r="P2" i="3"/>
  <c r="Q2"/>
  <c r="J2"/>
  <c r="K2"/>
  <c r="O2"/>
  <c r="I2"/>
  <c r="U2" i="4"/>
  <c r="N3" i="3"/>
  <c r="T3"/>
  <c r="G3" i="1"/>
  <c r="S2"/>
  <c r="R2"/>
  <c r="M2"/>
  <c r="L2"/>
  <c r="U23" i="4" l="1"/>
  <c r="O23"/>
  <c r="U24"/>
  <c r="O24"/>
  <c r="U25"/>
  <c r="O25"/>
  <c r="U26"/>
  <c r="O26"/>
  <c r="U27"/>
  <c r="O27"/>
  <c r="U28"/>
  <c r="O28"/>
  <c r="U29"/>
  <c r="O29"/>
  <c r="U30"/>
  <c r="O30"/>
  <c r="U17"/>
  <c r="O17"/>
  <c r="U18"/>
  <c r="O18"/>
  <c r="U19"/>
  <c r="O19"/>
  <c r="U20"/>
  <c r="O20"/>
  <c r="U21"/>
  <c r="O21"/>
  <c r="U22"/>
  <c r="O22"/>
  <c r="T30" i="3"/>
  <c r="N30"/>
  <c r="T29"/>
  <c r="N29"/>
  <c r="T28"/>
  <c r="N28"/>
  <c r="T27"/>
  <c r="N27"/>
  <c r="T26"/>
  <c r="N26"/>
  <c r="T25"/>
  <c r="N25"/>
  <c r="T24"/>
  <c r="N24"/>
  <c r="T23"/>
  <c r="N23"/>
  <c r="T22"/>
  <c r="N22"/>
  <c r="T21"/>
  <c r="N21"/>
  <c r="T20"/>
  <c r="N20"/>
  <c r="T19"/>
  <c r="N19"/>
  <c r="T18"/>
  <c r="N18"/>
  <c r="T17"/>
  <c r="N17"/>
  <c r="T16"/>
  <c r="N16"/>
  <c r="T15"/>
  <c r="N15"/>
  <c r="T14"/>
  <c r="N14"/>
  <c r="T13"/>
  <c r="N13"/>
  <c r="T12"/>
  <c r="N12"/>
  <c r="T11"/>
  <c r="N11"/>
  <c r="V16" i="4"/>
  <c r="U11"/>
  <c r="O11"/>
  <c r="U12"/>
  <c r="O12"/>
  <c r="U13"/>
  <c r="O13"/>
  <c r="U14"/>
  <c r="O14"/>
  <c r="U15"/>
  <c r="O15"/>
  <c r="T10" i="3"/>
  <c r="N10"/>
  <c r="U10" i="4"/>
  <c r="O10"/>
  <c r="U5"/>
  <c r="O5"/>
  <c r="U6"/>
  <c r="O6"/>
  <c r="U7"/>
  <c r="O7"/>
  <c r="U8"/>
  <c r="O8"/>
  <c r="U9"/>
  <c r="O9"/>
  <c r="V4"/>
  <c r="T9" i="3"/>
  <c r="N9"/>
  <c r="T8"/>
  <c r="N8"/>
  <c r="T7"/>
  <c r="N7"/>
  <c r="T6"/>
  <c r="N6"/>
  <c r="T5"/>
  <c r="N5"/>
  <c r="T4"/>
  <c r="N4"/>
  <c r="U3" i="4"/>
  <c r="V3" s="1"/>
  <c r="N2" i="3"/>
  <c r="T2"/>
  <c r="V2" i="4"/>
  <c r="U3" i="3"/>
  <c r="U2"/>
  <c r="V30" i="4" l="1"/>
  <c r="V29"/>
  <c r="V28"/>
  <c r="V27"/>
  <c r="V26"/>
  <c r="V25"/>
  <c r="V24"/>
  <c r="V23"/>
  <c r="V22"/>
  <c r="V21"/>
  <c r="V20"/>
  <c r="V19"/>
  <c r="V18"/>
  <c r="V17"/>
  <c r="U23" i="3"/>
  <c r="U24"/>
  <c r="U25"/>
  <c r="U26"/>
  <c r="U27"/>
  <c r="U28"/>
  <c r="U29"/>
  <c r="U30"/>
  <c r="U17"/>
  <c r="U18"/>
  <c r="U19"/>
  <c r="U20"/>
  <c r="U21"/>
  <c r="U22"/>
  <c r="U11"/>
  <c r="U12"/>
  <c r="U13"/>
  <c r="U14"/>
  <c r="U15"/>
  <c r="U16"/>
  <c r="V15" i="4"/>
  <c r="V14"/>
  <c r="V13"/>
  <c r="V12"/>
  <c r="V11"/>
  <c r="U10" i="3"/>
  <c r="V10" i="4"/>
  <c r="V9"/>
  <c r="V8"/>
  <c r="V7"/>
  <c r="V6"/>
  <c r="V5"/>
  <c r="U6" i="3"/>
  <c r="U7"/>
  <c r="U8"/>
  <c r="U9"/>
  <c r="U5"/>
  <c r="U4"/>
  <c r="B27" i="5" l="1"/>
  <c r="E27"/>
  <c r="B28"/>
  <c r="E28"/>
  <c r="B29"/>
  <c r="E29"/>
  <c r="B30"/>
  <c r="E30"/>
  <c r="B23"/>
  <c r="E23"/>
  <c r="B24"/>
  <c r="E24"/>
  <c r="B25"/>
  <c r="E25"/>
  <c r="B26"/>
  <c r="E26"/>
  <c r="B17"/>
  <c r="E17" s="1"/>
  <c r="B18"/>
  <c r="E18" s="1"/>
  <c r="B19"/>
  <c r="E19" s="1"/>
  <c r="B20"/>
  <c r="E20" s="1"/>
  <c r="B21"/>
  <c r="E21" s="1"/>
  <c r="B22"/>
  <c r="E22" s="1"/>
  <c r="B11"/>
  <c r="E11" s="1"/>
  <c r="B12"/>
  <c r="E12" s="1"/>
  <c r="B13"/>
  <c r="E13" s="1"/>
  <c r="B14"/>
  <c r="E14" s="1"/>
  <c r="B15"/>
  <c r="E15" s="1"/>
  <c r="B16"/>
  <c r="E16" s="1"/>
  <c r="B5"/>
  <c r="E5" s="1"/>
  <c r="B5" i="6" s="1"/>
  <c r="B9" i="5"/>
  <c r="E9" s="1"/>
  <c r="B8"/>
  <c r="E8" s="1"/>
  <c r="B7"/>
  <c r="E7" s="1"/>
  <c r="B10"/>
  <c r="E10" s="1"/>
  <c r="B4"/>
  <c r="E4"/>
  <c r="B3"/>
  <c r="E3"/>
  <c r="B2"/>
  <c r="E2" s="1"/>
  <c r="B6"/>
  <c r="E6"/>
  <c r="X2" i="1"/>
  <c r="X23"/>
  <c r="X24"/>
  <c r="X25"/>
  <c r="X26"/>
  <c r="X27"/>
  <c r="X28"/>
  <c r="X29"/>
  <c r="X30"/>
  <c r="X22"/>
  <c r="X21"/>
  <c r="X20"/>
  <c r="X19"/>
  <c r="X18"/>
  <c r="X17"/>
  <c r="X16"/>
  <c r="X15"/>
  <c r="X14"/>
  <c r="X13"/>
  <c r="X12"/>
  <c r="X11"/>
  <c r="X5"/>
  <c r="X10"/>
  <c r="X9"/>
  <c r="X6"/>
  <c r="X3"/>
  <c r="X7"/>
  <c r="X8"/>
  <c r="X4"/>
  <c r="Z4" l="1"/>
  <c r="F4" i="5"/>
  <c r="Z8" i="1"/>
  <c r="F8" i="5"/>
  <c r="Z7" i="1"/>
  <c r="F7" i="5"/>
  <c r="Z3" i="1"/>
  <c r="F3" i="5"/>
  <c r="Z6" i="1"/>
  <c r="F6" i="5"/>
  <c r="Z9" i="1"/>
  <c r="F9" i="5"/>
  <c r="Z10" i="1"/>
  <c r="F10" i="5"/>
  <c r="Z5" i="1"/>
  <c r="F5" i="5"/>
  <c r="Z11" i="1"/>
  <c r="F11" i="5"/>
  <c r="Z12" i="1"/>
  <c r="F12" i="5"/>
  <c r="Z13" i="1"/>
  <c r="F13" i="5"/>
  <c r="Z14" i="1"/>
  <c r="F14" i="5"/>
  <c r="Z15" i="1"/>
  <c r="F15" i="5"/>
  <c r="Z16" i="1"/>
  <c r="F16" i="5"/>
  <c r="Z17" i="1"/>
  <c r="F17" i="5"/>
  <c r="Z18" i="1"/>
  <c r="F18" i="5"/>
  <c r="Z19" i="1"/>
  <c r="F19" i="5"/>
  <c r="Z20" i="1"/>
  <c r="F20" i="5"/>
  <c r="Z21" i="1"/>
  <c r="F21" i="5"/>
  <c r="Z22" i="1"/>
  <c r="F22" i="5"/>
  <c r="Z30" i="1"/>
  <c r="F30" i="5"/>
  <c r="Z29" i="1"/>
  <c r="F29" i="5"/>
  <c r="Z28" i="1"/>
  <c r="F28" i="5"/>
  <c r="Z27" i="1"/>
  <c r="F27" i="5"/>
  <c r="Z26" i="1"/>
  <c r="F26" i="5"/>
  <c r="Z25" i="1"/>
  <c r="F25" i="5"/>
  <c r="Z24" i="1"/>
  <c r="F24" i="5"/>
  <c r="Z23" i="1"/>
  <c r="F23" i="5"/>
  <c r="Z2" i="1"/>
  <c r="F2" i="5"/>
  <c r="C5" i="6"/>
  <c r="C6" s="1"/>
  <c r="D5"/>
  <c r="D6" s="1"/>
  <c r="E5"/>
  <c r="E6" s="1"/>
  <c r="F5"/>
  <c r="F6" s="1"/>
  <c r="B6"/>
  <c r="Y2" i="1"/>
  <c r="G2" i="5"/>
  <c r="H17" i="1"/>
  <c r="Y17" s="1"/>
  <c r="G17" i="5" s="1"/>
  <c r="I17" i="1"/>
  <c r="H18"/>
  <c r="Y18" s="1"/>
  <c r="G18" i="5" s="1"/>
  <c r="I18" i="1"/>
  <c r="H19"/>
  <c r="Y19" s="1"/>
  <c r="G19" i="5" s="1"/>
  <c r="I19" i="1"/>
  <c r="H20"/>
  <c r="Y20" s="1"/>
  <c r="G20" i="5" s="1"/>
  <c r="I20" i="1"/>
  <c r="H21"/>
  <c r="Y21" s="1"/>
  <c r="G21" i="5" s="1"/>
  <c r="I21" i="1"/>
  <c r="H22"/>
  <c r="Y22" s="1"/>
  <c r="G22" i="5" s="1"/>
  <c r="I22" i="1"/>
  <c r="H24"/>
  <c r="Y24" s="1"/>
  <c r="G24" i="5" s="1"/>
  <c r="I24" i="1"/>
  <c r="H25"/>
  <c r="Y25" s="1"/>
  <c r="G25" i="5" s="1"/>
  <c r="I25" i="1"/>
  <c r="H26"/>
  <c r="Y26" s="1"/>
  <c r="G26" i="5" s="1"/>
  <c r="I26" i="1"/>
  <c r="H27"/>
  <c r="Y27" s="1"/>
  <c r="G27" i="5" s="1"/>
  <c r="I27" i="1"/>
  <c r="H28"/>
  <c r="Y28" s="1"/>
  <c r="G28" i="5" s="1"/>
  <c r="I28" i="1"/>
  <c r="H23"/>
  <c r="Y23" s="1"/>
  <c r="G23" i="5" s="1"/>
  <c r="I23" i="1"/>
  <c r="H30"/>
  <c r="Y30" s="1"/>
  <c r="G30" i="5" s="1"/>
  <c r="I30" i="1"/>
  <c r="H29"/>
  <c r="Y29" s="1"/>
  <c r="G29" i="5" s="1"/>
  <c r="I29" i="1"/>
  <c r="H16"/>
  <c r="Y16" s="1"/>
  <c r="G16" i="5" s="1"/>
  <c r="I16" i="1"/>
  <c r="H15"/>
  <c r="Y15" s="1"/>
  <c r="G15" i="5" s="1"/>
  <c r="I15" i="1"/>
  <c r="H14"/>
  <c r="Y14" s="1"/>
  <c r="G14" i="5" s="1"/>
  <c r="I14" i="1"/>
  <c r="H13"/>
  <c r="Y13" s="1"/>
  <c r="G13" i="5" s="1"/>
  <c r="I13" i="1"/>
  <c r="H3"/>
  <c r="Y3" s="1"/>
  <c r="G3" i="5" s="1"/>
  <c r="I3" i="1"/>
  <c r="H4"/>
  <c r="Y4" s="1"/>
  <c r="G4" i="5" s="1"/>
  <c r="O4" i="1"/>
  <c r="H9"/>
  <c r="Y9" s="1"/>
  <c r="G9" i="5" s="1"/>
  <c r="O9" i="1"/>
  <c r="H7"/>
  <c r="Y7" s="1"/>
  <c r="G7" i="5" s="1"/>
  <c r="I7" i="1"/>
  <c r="H8"/>
  <c r="Y8" s="1"/>
  <c r="G8" i="5" s="1"/>
  <c r="I8" i="1"/>
  <c r="H5"/>
  <c r="I5"/>
  <c r="H10"/>
  <c r="Y10" s="1"/>
  <c r="G10" i="5" s="1"/>
  <c r="I10" i="1"/>
  <c r="H11"/>
  <c r="Y11" s="1"/>
  <c r="G11" i="5" s="1"/>
  <c r="I11" i="1"/>
  <c r="H12"/>
  <c r="Y12" s="1"/>
  <c r="G12" i="5" s="1"/>
  <c r="I12" i="1"/>
  <c r="H6"/>
  <c r="H2"/>
  <c r="I2"/>
  <c r="H2" i="5" l="1"/>
  <c r="I2"/>
  <c r="J2" s="1"/>
  <c r="H23"/>
  <c r="I23"/>
  <c r="J23" s="1"/>
  <c r="H24"/>
  <c r="I24"/>
  <c r="J24" s="1"/>
  <c r="H25"/>
  <c r="I25"/>
  <c r="J25" s="1"/>
  <c r="H26"/>
  <c r="I26"/>
  <c r="J26" s="1"/>
  <c r="H27"/>
  <c r="I27"/>
  <c r="J27" s="1"/>
  <c r="H28"/>
  <c r="I28"/>
  <c r="J28" s="1"/>
  <c r="H29"/>
  <c r="I29"/>
  <c r="J29" s="1"/>
  <c r="H30"/>
  <c r="I30"/>
  <c r="J30" s="1"/>
  <c r="H22"/>
  <c r="I22"/>
  <c r="J22" s="1"/>
  <c r="H21"/>
  <c r="I21"/>
  <c r="J21" s="1"/>
  <c r="H20"/>
  <c r="I20"/>
  <c r="J20" s="1"/>
  <c r="H19"/>
  <c r="I19"/>
  <c r="J19" s="1"/>
  <c r="H18"/>
  <c r="I18"/>
  <c r="J18" s="1"/>
  <c r="H17"/>
  <c r="I17"/>
  <c r="J17" s="1"/>
  <c r="H16"/>
  <c r="I16"/>
  <c r="J16" s="1"/>
  <c r="H15"/>
  <c r="I15"/>
  <c r="J15" s="1"/>
  <c r="H14"/>
  <c r="I14"/>
  <c r="J14" s="1"/>
  <c r="H13"/>
  <c r="I13"/>
  <c r="J13" s="1"/>
  <c r="H12"/>
  <c r="I12"/>
  <c r="J12" s="1"/>
  <c r="H11"/>
  <c r="I11"/>
  <c r="J11" s="1"/>
  <c r="H5"/>
  <c r="H10"/>
  <c r="I10"/>
  <c r="J10" s="1"/>
  <c r="H9"/>
  <c r="I9"/>
  <c r="J9" s="1"/>
  <c r="H6"/>
  <c r="H3"/>
  <c r="I3"/>
  <c r="J3" s="1"/>
  <c r="H7"/>
  <c r="I7"/>
  <c r="J7" s="1"/>
  <c r="H8"/>
  <c r="I8"/>
  <c r="J8" s="1"/>
  <c r="H4"/>
  <c r="I4"/>
  <c r="J4" s="1"/>
  <c r="J2" i="1"/>
  <c r="Q2"/>
  <c r="P2"/>
  <c r="K2"/>
  <c r="O2"/>
  <c r="T2" s="1"/>
  <c r="Y6"/>
  <c r="G6" i="5" s="1"/>
  <c r="I6" s="1"/>
  <c r="J6" s="1"/>
  <c r="Q6" i="1"/>
  <c r="J6"/>
  <c r="P6"/>
  <c r="K6"/>
  <c r="I6"/>
  <c r="N6" s="1"/>
  <c r="O6"/>
  <c r="T6" s="1"/>
  <c r="U6" s="1"/>
  <c r="Y5"/>
  <c r="G5" i="5" s="1"/>
  <c r="I5" s="1"/>
  <c r="J5" s="1"/>
  <c r="Q5" i="1"/>
  <c r="P5"/>
  <c r="J5"/>
  <c r="K5"/>
  <c r="O5"/>
  <c r="T5" s="1"/>
  <c r="O12"/>
  <c r="Q12"/>
  <c r="P12"/>
  <c r="K12"/>
  <c r="J12"/>
  <c r="N12" s="1"/>
  <c r="O11"/>
  <c r="Q11"/>
  <c r="P11"/>
  <c r="K11"/>
  <c r="J11"/>
  <c r="N11" s="1"/>
  <c r="O10"/>
  <c r="K10"/>
  <c r="Q10"/>
  <c r="J10"/>
  <c r="N10" s="1"/>
  <c r="P10"/>
  <c r="O8"/>
  <c r="K8"/>
  <c r="Q8"/>
  <c r="J8"/>
  <c r="N8" s="1"/>
  <c r="P8"/>
  <c r="O7"/>
  <c r="K7"/>
  <c r="Q7"/>
  <c r="J7"/>
  <c r="N7" s="1"/>
  <c r="P7"/>
  <c r="I9"/>
  <c r="K9"/>
  <c r="Q9"/>
  <c r="J9"/>
  <c r="P9"/>
  <c r="T9" s="1"/>
  <c r="I4"/>
  <c r="J4"/>
  <c r="Q4"/>
  <c r="P4"/>
  <c r="T4" s="1"/>
  <c r="K4"/>
  <c r="O3"/>
  <c r="J3"/>
  <c r="P3"/>
  <c r="Q3"/>
  <c r="K3"/>
  <c r="O13"/>
  <c r="Q13"/>
  <c r="P13"/>
  <c r="K13"/>
  <c r="J13"/>
  <c r="N13" s="1"/>
  <c r="O14"/>
  <c r="Q14"/>
  <c r="P14"/>
  <c r="K14"/>
  <c r="J14"/>
  <c r="N14" s="1"/>
  <c r="O15"/>
  <c r="Q15"/>
  <c r="P15"/>
  <c r="K15"/>
  <c r="J15"/>
  <c r="N15" s="1"/>
  <c r="O16"/>
  <c r="Q16"/>
  <c r="P16"/>
  <c r="K16"/>
  <c r="J16"/>
  <c r="N16" s="1"/>
  <c r="O29"/>
  <c r="Q29"/>
  <c r="P29"/>
  <c r="K29"/>
  <c r="J29"/>
  <c r="N29" s="1"/>
  <c r="O30"/>
  <c r="Q30"/>
  <c r="P30"/>
  <c r="K30"/>
  <c r="J30"/>
  <c r="N30" s="1"/>
  <c r="O23"/>
  <c r="Q23"/>
  <c r="P23"/>
  <c r="K23"/>
  <c r="J23"/>
  <c r="N23" s="1"/>
  <c r="O28"/>
  <c r="Q28"/>
  <c r="P28"/>
  <c r="K28"/>
  <c r="J28"/>
  <c r="N28" s="1"/>
  <c r="O27"/>
  <c r="Q27"/>
  <c r="P27"/>
  <c r="K27"/>
  <c r="J27"/>
  <c r="N27" s="1"/>
  <c r="O26"/>
  <c r="Q26"/>
  <c r="P26"/>
  <c r="K26"/>
  <c r="J26"/>
  <c r="N26" s="1"/>
  <c r="O25"/>
  <c r="Q25"/>
  <c r="P25"/>
  <c r="K25"/>
  <c r="J25"/>
  <c r="N25" s="1"/>
  <c r="O24"/>
  <c r="Q24"/>
  <c r="P24"/>
  <c r="K24"/>
  <c r="J24"/>
  <c r="N24" s="1"/>
  <c r="O22"/>
  <c r="Q22"/>
  <c r="P22"/>
  <c r="K22"/>
  <c r="J22"/>
  <c r="N22" s="1"/>
  <c r="O21"/>
  <c r="Q21"/>
  <c r="P21"/>
  <c r="K21"/>
  <c r="J21"/>
  <c r="N21" s="1"/>
  <c r="O20"/>
  <c r="Q20"/>
  <c r="P20"/>
  <c r="K20"/>
  <c r="J20"/>
  <c r="N20" s="1"/>
  <c r="O19"/>
  <c r="Q19"/>
  <c r="P19"/>
  <c r="K19"/>
  <c r="J19"/>
  <c r="N19" s="1"/>
  <c r="O18"/>
  <c r="Q18"/>
  <c r="P18"/>
  <c r="K18"/>
  <c r="J18"/>
  <c r="N18" s="1"/>
  <c r="O17"/>
  <c r="Q17"/>
  <c r="P17"/>
  <c r="K17"/>
  <c r="J17"/>
  <c r="N17" s="1"/>
  <c r="T17" l="1"/>
  <c r="U17" s="1"/>
  <c r="T18"/>
  <c r="U18" s="1"/>
  <c r="T19"/>
  <c r="U19" s="1"/>
  <c r="T20"/>
  <c r="U20" s="1"/>
  <c r="T21"/>
  <c r="U21" s="1"/>
  <c r="T22"/>
  <c r="U22" s="1"/>
  <c r="T24"/>
  <c r="U24" s="1"/>
  <c r="T25"/>
  <c r="U25" s="1"/>
  <c r="T26"/>
  <c r="U26" s="1"/>
  <c r="T27"/>
  <c r="U27" s="1"/>
  <c r="T28"/>
  <c r="U28" s="1"/>
  <c r="T23"/>
  <c r="U23" s="1"/>
  <c r="T30"/>
  <c r="U30" s="1"/>
  <c r="T29"/>
  <c r="U29" s="1"/>
  <c r="T16"/>
  <c r="U16" s="1"/>
  <c r="T15"/>
  <c r="U15" s="1"/>
  <c r="T14"/>
  <c r="U14" s="1"/>
  <c r="T13"/>
  <c r="U13" s="1"/>
  <c r="N3"/>
  <c r="T3"/>
  <c r="U3" s="1"/>
  <c r="N4"/>
  <c r="U4" s="1"/>
  <c r="N9"/>
  <c r="U9" s="1"/>
  <c r="T7"/>
  <c r="U7" s="1"/>
  <c r="T8"/>
  <c r="U8" s="1"/>
  <c r="T10"/>
  <c r="U10" s="1"/>
  <c r="T11"/>
  <c r="U11" s="1"/>
  <c r="T12"/>
  <c r="U12" s="1"/>
  <c r="N5"/>
  <c r="U5" s="1"/>
  <c r="N2"/>
  <c r="U2" s="1"/>
</calcChain>
</file>

<file path=xl/sharedStrings.xml><?xml version="1.0" encoding="utf-8"?>
<sst xmlns="http://schemas.openxmlformats.org/spreadsheetml/2006/main" count="112" uniqueCount="51">
  <si>
    <t>APORTE</t>
  </si>
  <si>
    <t>LUCRO</t>
  </si>
  <si>
    <t>NO BOLSO</t>
  </si>
  <si>
    <t>DATA</t>
  </si>
  <si>
    <t>MONTANTE</t>
  </si>
  <si>
    <t>REINVESTIR</t>
  </si>
  <si>
    <t>APLICAÇÃO</t>
  </si>
  <si>
    <t>RENDA FIXA</t>
  </si>
  <si>
    <t>PREV LUCRO</t>
  </si>
  <si>
    <t>TOT RF</t>
  </si>
  <si>
    <t>NORMAL</t>
  </si>
  <si>
    <t>DAYTRADE</t>
  </si>
  <si>
    <t>EMOL.</t>
  </si>
  <si>
    <t>LIQUID.</t>
  </si>
  <si>
    <t>REGISTRO</t>
  </si>
  <si>
    <t>EMOL CP</t>
  </si>
  <si>
    <t>LIQD CP</t>
  </si>
  <si>
    <t>REG CP</t>
  </si>
  <si>
    <t>ISS</t>
  </si>
  <si>
    <t>TAXA CP</t>
  </si>
  <si>
    <t>OUTRAS CP</t>
  </si>
  <si>
    <t>ISS CP</t>
  </si>
  <si>
    <t>CORRETAGEM</t>
  </si>
  <si>
    <t>OUTROS</t>
  </si>
  <si>
    <t>EMOL VD</t>
  </si>
  <si>
    <t>LIQD VD</t>
  </si>
  <si>
    <t>REG VD</t>
  </si>
  <si>
    <t>ISS VD</t>
  </si>
  <si>
    <t>OUTRAS VD</t>
  </si>
  <si>
    <t>TAXA VD</t>
  </si>
  <si>
    <t>TRADE</t>
  </si>
  <si>
    <t>APORTE RF</t>
  </si>
  <si>
    <t>PATRIMÔNIO</t>
  </si>
  <si>
    <t>PERDA MAX</t>
  </si>
  <si>
    <t>% PERDA</t>
  </si>
  <si>
    <t>SAQUE</t>
  </si>
  <si>
    <t>PROTEÇÃO MÊS</t>
  </si>
  <si>
    <t>Total</t>
  </si>
  <si>
    <t>%</t>
  </si>
  <si>
    <t>LUCRO PROTEGIDO OPÇÕES</t>
  </si>
  <si>
    <t>LUCRO LÍQUIDO AÇÕES</t>
  </si>
  <si>
    <t>% LUCRO AÇÕES</t>
  </si>
  <si>
    <t>TOTAL PROTEÇÃO</t>
  </si>
  <si>
    <t>TOTAL RF</t>
  </si>
  <si>
    <t>TOTAL PATRIMÔNIO</t>
  </si>
  <si>
    <t>TESOURO DIRETO</t>
  </si>
  <si>
    <t>FUNDO AÇÕES</t>
  </si>
  <si>
    <t>FUNDOS MM</t>
  </si>
  <si>
    <t>FUNDOS RF E REFER.</t>
  </si>
  <si>
    <t>RENTABILIDADE</t>
  </si>
  <si>
    <t>RF x PATRIMONIO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</si>
</sst>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0.0000%"/>
    <numFmt numFmtId="166" formatCode="[$R$-416]\ #,##0.00;[Red]\-[$R$-416]\ #,##0.00"/>
    <numFmt numFmtId="167" formatCode="[$-416]mmm\-yy;@"/>
    <numFmt numFmtId="168" formatCode="[$-416]mmmm\-yy;@"/>
    <numFmt numFmtId="169" formatCode="dd/mm/yyyy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8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Font="1"/>
    <xf numFmtId="10" fontId="2" fillId="0" borderId="0" xfId="2" applyNumberFormat="1" applyFont="1"/>
    <xf numFmtId="14" fontId="2" fillId="0" borderId="0" xfId="0" applyNumberFormat="1" applyFont="1"/>
    <xf numFmtId="164" fontId="2" fillId="0" borderId="0" xfId="1" applyNumberFormat="1" applyFont="1"/>
    <xf numFmtId="0" fontId="6" fillId="0" borderId="0" xfId="0" applyFont="1"/>
    <xf numFmtId="165" fontId="7" fillId="0" borderId="0" xfId="0" applyNumberFormat="1" applyFont="1"/>
    <xf numFmtId="166" fontId="5" fillId="0" borderId="0" xfId="0" applyNumberFormat="1" applyFont="1"/>
    <xf numFmtId="10" fontId="5" fillId="0" borderId="0" xfId="0" applyNumberFormat="1" applyFont="1"/>
    <xf numFmtId="164" fontId="8" fillId="0" borderId="0" xfId="1" applyFont="1"/>
    <xf numFmtId="0" fontId="8" fillId="0" borderId="0" xfId="0" applyFont="1"/>
    <xf numFmtId="164" fontId="3" fillId="0" borderId="0" xfId="1" applyFont="1"/>
    <xf numFmtId="164" fontId="8" fillId="0" borderId="0" xfId="1" applyNumberFormat="1" applyFont="1"/>
    <xf numFmtId="10" fontId="2" fillId="0" borderId="0" xfId="0" applyNumberFormat="1" applyFont="1"/>
    <xf numFmtId="164" fontId="2" fillId="0" borderId="0" xfId="0" applyNumberFormat="1" applyFont="1"/>
    <xf numFmtId="0" fontId="2" fillId="0" borderId="0" xfId="0" applyNumberFormat="1" applyFont="1"/>
    <xf numFmtId="0" fontId="8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  <xf numFmtId="164" fontId="2" fillId="0" borderId="0" xfId="1" applyFont="1" applyBorder="1"/>
    <xf numFmtId="164" fontId="2" fillId="0" borderId="0" xfId="1" applyNumberFormat="1" applyFont="1" applyBorder="1"/>
    <xf numFmtId="164" fontId="8" fillId="0" borderId="0" xfId="1" applyNumberFormat="1" applyFont="1" applyBorder="1"/>
    <xf numFmtId="10" fontId="2" fillId="0" borderId="0" xfId="2" applyNumberFormat="1" applyFont="1" applyBorder="1"/>
    <xf numFmtId="10" fontId="2" fillId="0" borderId="0" xfId="0" applyNumberFormat="1" applyFont="1" applyBorder="1"/>
    <xf numFmtId="168" fontId="2" fillId="0" borderId="0" xfId="0" applyNumberFormat="1" applyFont="1"/>
    <xf numFmtId="0" fontId="3" fillId="0" borderId="0" xfId="0" applyFont="1" applyAlignment="1">
      <alignment horizontal="center"/>
    </xf>
    <xf numFmtId="168" fontId="3" fillId="0" borderId="0" xfId="0" applyNumberFormat="1" applyFont="1"/>
    <xf numFmtId="0" fontId="9" fillId="0" borderId="0" xfId="0" applyFont="1" applyBorder="1"/>
    <xf numFmtId="164" fontId="9" fillId="0" borderId="0" xfId="1" applyFont="1" applyBorder="1"/>
    <xf numFmtId="164" fontId="9" fillId="0" borderId="0" xfId="1" applyNumberFormat="1" applyFont="1" applyBorder="1"/>
    <xf numFmtId="164" fontId="10" fillId="0" borderId="0" xfId="1" applyNumberFormat="1" applyFont="1" applyBorder="1"/>
    <xf numFmtId="10" fontId="9" fillId="0" borderId="0" xfId="2" applyNumberFormat="1" applyFont="1" applyBorder="1"/>
    <xf numFmtId="10" fontId="9" fillId="0" borderId="0" xfId="0" applyNumberFormat="1" applyFont="1" applyBorder="1"/>
    <xf numFmtId="10" fontId="11" fillId="0" borderId="0" xfId="2" applyNumberFormat="1" applyFont="1"/>
    <xf numFmtId="10" fontId="9" fillId="0" borderId="0" xfId="2" applyNumberFormat="1" applyFont="1"/>
    <xf numFmtId="169" fontId="9" fillId="0" borderId="0" xfId="0" applyNumberFormat="1" applyFont="1" applyBorder="1"/>
    <xf numFmtId="168" fontId="3" fillId="0" borderId="2" xfId="0" applyNumberFormat="1" applyFont="1" applyBorder="1" applyAlignment="1">
      <alignment horizontal="center"/>
    </xf>
    <xf numFmtId="164" fontId="3" fillId="0" borderId="2" xfId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8" fontId="2" fillId="2" borderId="0" xfId="0" applyNumberFormat="1" applyFont="1" applyFill="1"/>
    <xf numFmtId="164" fontId="2" fillId="2" borderId="0" xfId="1" applyFont="1" applyFill="1"/>
    <xf numFmtId="43" fontId="2" fillId="2" borderId="0" xfId="0" applyNumberFormat="1" applyFont="1" applyFill="1"/>
    <xf numFmtId="0" fontId="2" fillId="0" borderId="0" xfId="0" applyFont="1" applyBorder="1"/>
    <xf numFmtId="169" fontId="2" fillId="0" borderId="0" xfId="0" applyNumberFormat="1" applyFont="1"/>
    <xf numFmtId="169" fontId="2" fillId="0" borderId="0" xfId="0" applyNumberFormat="1" applyFont="1" applyBorder="1"/>
    <xf numFmtId="164" fontId="12" fillId="0" borderId="0" xfId="1" applyFont="1" applyBorder="1"/>
    <xf numFmtId="164" fontId="12" fillId="0" borderId="0" xfId="1" applyNumberFormat="1" applyFont="1" applyBorder="1"/>
    <xf numFmtId="10" fontId="12" fillId="0" borderId="0" xfId="2" applyNumberFormat="1" applyFont="1" applyBorder="1"/>
    <xf numFmtId="164" fontId="3" fillId="0" borderId="0" xfId="1" applyNumberFormat="1" applyFont="1"/>
    <xf numFmtId="164" fontId="3" fillId="0" borderId="0" xfId="1" applyNumberFormat="1" applyFont="1" applyBorder="1"/>
    <xf numFmtId="0" fontId="3" fillId="0" borderId="0" xfId="0" applyNumberFormat="1" applyFont="1"/>
    <xf numFmtId="164" fontId="3" fillId="2" borderId="0" xfId="1" applyFont="1" applyFill="1"/>
    <xf numFmtId="10" fontId="3" fillId="0" borderId="0" xfId="2" applyNumberFormat="1" applyFont="1"/>
    <xf numFmtId="10" fontId="0" fillId="0" borderId="0" xfId="0" applyNumberFormat="1" applyFont="1"/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67" fontId="2" fillId="0" borderId="0" xfId="1" applyNumberFormat="1" applyFont="1"/>
    <xf numFmtId="167" fontId="2" fillId="0" borderId="0" xfId="1" applyNumberFormat="1" applyFont="1" applyBorder="1"/>
    <xf numFmtId="164" fontId="13" fillId="0" borderId="0" xfId="1" applyFont="1"/>
    <xf numFmtId="164" fontId="13" fillId="0" borderId="0" xfId="1" applyNumberFormat="1" applyFont="1"/>
    <xf numFmtId="164" fontId="13" fillId="0" borderId="0" xfId="1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1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9" tint="-0.499984740745262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Z32" totalsRowCount="1" headerRowDxfId="178">
  <autoFilter ref="A1:Z31">
    <filterColumn colId="25"/>
  </autoFilter>
  <tableColumns count="26">
    <tableColumn id="1" name="TRADE" totalsRowLabel="Total" dataDxfId="177" totalsRowDxfId="25"/>
    <tableColumn id="2" name="DATA" dataDxfId="176" totalsRowDxfId="24"/>
    <tableColumn id="26" name="APORTE RF" dataDxfId="175" totalsRowDxfId="23" dataCellStyle="Moeda"/>
    <tableColumn id="9" name="SAQUE" dataDxfId="174" totalsRowDxfId="22" dataCellStyle="Moeda"/>
    <tableColumn id="5" name="LUCRO" dataDxfId="173" totalsRowDxfId="21" dataCellStyle="Moeda"/>
    <tableColumn id="3" name="APORTE" totalsRowFunction="sum" dataDxfId="172" totalsRowDxfId="20" dataCellStyle="Moeda">
      <calculatedColumnFormula>380</calculatedColumnFormula>
    </tableColumn>
    <tableColumn id="4" name="MONTANTE" dataDxfId="171" totalsRowDxfId="19" dataCellStyle="Moeda">
      <calculatedColumnFormula>SUMPRODUCT(N([TRADE] &lt;= Tabela1[[#This Row],[TRADE]]), [APORTE]) + SUMPRODUCT(N([TRADE] &lt;= Tabela1[[#This Row],[TRADE]]), [APORTE RF])</calculatedColumnFormula>
    </tableColumn>
    <tableColumn id="10" name="APLICAÇÃO" dataDxfId="170" totalsRowDxfId="18" dataCellStyle="Moeda">
      <calculatedColumnFormula>[MONTANTE] - SUMPRODUCT(N([TRADE] &lt;= Tabela1[[#This Row],[TRADE]]), [SAQUE]) + SUMPRODUCT(N([TRADE] &lt; Tabela1[[#This Row],[TRADE]]), [REINVESTIR])</calculatedColumnFormula>
    </tableColumn>
    <tableColumn id="11" name="EMOL CP" dataDxfId="169" totalsRowDxfId="17" dataCellStyle="Moeda">
      <calculatedColumnFormula>TRUNC([APLICAÇÃO]  * SETUP!$A$3, 2)</calculatedColumnFormula>
    </tableColumn>
    <tableColumn id="13" name="LIQD CP" dataDxfId="168" totalsRowDxfId="16" dataCellStyle="Moeda">
      <calculatedColumnFormula>TRUNC([APLICAÇÃO]  * SETUP!$B$3, 2)</calculatedColumnFormula>
    </tableColumn>
    <tableColumn id="14" name="REG CP" dataDxfId="167" totalsRowDxfId="15" dataCellStyle="Moeda">
      <calculatedColumnFormula>TRUNC([APLICAÇÃO]  * SETUP!$C$3, 2)</calculatedColumnFormula>
    </tableColumn>
    <tableColumn id="16" name="ISS CP" dataDxfId="166" totalsRowDxfId="14" dataCellStyle="Moeda">
      <calculatedColumnFormula>TRUNC(SETUP!$G$3  * SETUP!$H$3, 2)</calculatedColumnFormula>
    </tableColumn>
    <tableColumn id="19" name="OUTRAS CP" dataDxfId="165" totalsRowDxfId="13" dataCellStyle="Moeda">
      <calculatedColumnFormula>ROUND(SETUP!$G$3 * SETUP!$I$3, 2)</calculatedColumnFormula>
    </tableColumn>
    <tableColumn id="18" name="TAXA CP" dataDxfId="164" totalsRowDxfId="12" dataCellStyle="Moeda">
      <calculatedColumnFormula>SETUP!$G$3 + SUM(Tabela1[[#This Row],[EMOL CP]]:Tabela1[[#This Row],[OUTRAS CP]])</calculatedColumnFormula>
    </tableColumn>
    <tableColumn id="25" name="EMOL VD" dataDxfId="163" totalsRowDxfId="11" dataCellStyle="Moeda">
      <calculatedColumnFormula>TRUNC([APLICAÇÃO] * 2  * SETUP!$A$3, 2)</calculatedColumnFormula>
    </tableColumn>
    <tableColumn id="24" name="LIQD VD" dataDxfId="162" totalsRowDxfId="10" dataCellStyle="Moeda">
      <calculatedColumnFormula>TRUNC([APLICAÇÃO] * 2  * SETUP!$B$3, 2)</calculatedColumnFormula>
    </tableColumn>
    <tableColumn id="23" name="REG VD" dataDxfId="161" totalsRowDxfId="9" dataCellStyle="Moeda">
      <calculatedColumnFormula>TRUNC([APLICAÇÃO] * 2  * SETUP!$C$3, 2)</calculatedColumnFormula>
    </tableColumn>
    <tableColumn id="22" name="ISS VD" dataDxfId="160" totalsRowDxfId="8" dataCellStyle="Moeda">
      <calculatedColumnFormula>TRUNC(SETUP!$G$3  * SETUP!$H$3, 2)</calculatedColumnFormula>
    </tableColumn>
    <tableColumn id="21" name="OUTRAS VD" dataDxfId="159" totalsRowDxfId="7" dataCellStyle="Moeda">
      <calculatedColumnFormula>ROUND(SETUP!$G$3 * SETUP!$I$3, 2)</calculatedColumnFormula>
    </tableColumn>
    <tableColumn id="20" name="TAXA VD" dataDxfId="28" totalsRowDxfId="6" dataCellStyle="Moeda">
      <calculatedColumnFormula>SETUP!$G$3 + SUM(Tabela1[[#This Row],[EMOL VD]]:Tabela1[[#This Row],[OUTRAS VD]])</calculatedColumnFormula>
    </tableColumn>
    <tableColumn id="17" name="PREV LUCRO" dataDxfId="26" totalsRowDxfId="5" dataCellStyle="Moeda">
      <calculatedColumnFormula>((([APLICAÇÃO] * 2) - [TAXA VD]) - ([APLICAÇÃO] + [TAXA CP])) * 0.85</calculatedColumnFormula>
    </tableColumn>
    <tableColumn id="7" name="PROTEÇÃO MÊS" dataDxfId="27" totalsRowDxfId="4" dataCellStyle="Moeda">
      <calculatedColumnFormula>IF([LUCRO] &lt; 0, 0, ROUND([LUCRO]*80%, 2))</calculatedColumnFormula>
    </tableColumn>
    <tableColumn id="8" name="REINVESTIR" dataDxfId="158" totalsRowDxfId="3" dataCellStyle="Moeda">
      <calculatedColumnFormula>[LUCRO]-[PROTEÇÃO MÊS]</calculatedColumnFormula>
    </tableColumn>
    <tableColumn id="15" name="TOT RF" dataDxfId="157" totalsRowDxfId="2" dataCellStyle="Moeda">
      <calculatedColumnFormula>SUMPRODUCT(N([TRADE] &lt;= Tabela1[[#This Row],[TRADE]]), [PROTEÇÃO MÊS]) - [APORTE RF]</calculatedColumnFormula>
    </tableColumn>
    <tableColumn id="27" name="PATRIMÔNIO" dataDxfId="156" totalsRowDxfId="1" dataCellStyle="Moeda">
      <calculatedColumnFormula>[TOT RF] + [REINVESTIR] + [APLICAÇÃO]</calculatedColumnFormula>
    </tableColumn>
    <tableColumn id="30" name="%" dataDxfId="155" totalsRowDxfId="0" dataCellStyle="Porcentagem">
      <calculatedColumnFormula>IF(AND([PROTEÇÃO MÊS] &gt; 0, ([TOT RF] - [PROTEÇÃO MÊS]) &gt; 0), [PROTEÇÃO MÊS] / ([TOT RF] - [PROTEÇÃO MÊS]),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Z32" totalsRowCount="1" headerRowDxfId="154">
  <autoFilter ref="A1:Z31">
    <filterColumn colId="25"/>
  </autoFilter>
  <tableColumns count="26">
    <tableColumn id="1" name="TRADE" totalsRowLabel="Total" dataDxfId="153" totalsRowDxfId="69"/>
    <tableColumn id="2" name="DATA" dataDxfId="152" totalsRowDxfId="68"/>
    <tableColumn id="26" name="APORTE RF" dataDxfId="151" totalsRowDxfId="67" dataCellStyle="Moeda"/>
    <tableColumn id="9" name="SAQUE" dataDxfId="150" totalsRowDxfId="66" dataCellStyle="Moeda"/>
    <tableColumn id="5" name="LUCRO" dataDxfId="149" totalsRowDxfId="65" dataCellStyle="Moeda"/>
    <tableColumn id="3" name="APORTE" dataDxfId="148" totalsRowDxfId="64" dataCellStyle="Moeda">
      <calculatedColumnFormula>100</calculatedColumnFormula>
    </tableColumn>
    <tableColumn id="4" name="MONTANTE" dataDxfId="147" totalsRowDxfId="63" dataCellStyle="Moeda">
      <calculatedColumnFormula>SUMPRODUCT(N([TRADE] &lt;= Tabela13[[#This Row],[TRADE]]), [APORTE]) + SUMPRODUCT(N([TRADE] &lt;= Tabela13[[#This Row],[TRADE]]), [APORTE RF])</calculatedColumnFormula>
    </tableColumn>
    <tableColumn id="10" name="APLICAÇÃO" dataDxfId="146" totalsRowDxfId="62" dataCellStyle="Moeda">
      <calculatedColumnFormula>[MONTANTE] - SUMPRODUCT(N([TRADE] &lt;= Tabela13[[#This Row],[TRADE]]), [SAQUE]) + SUMPRODUCT(N([TRADE] &lt; Tabela13[[#This Row],[TRADE]]), [REINVESTIR])</calculatedColumnFormula>
    </tableColumn>
    <tableColumn id="11" name="EMOL CP" dataDxfId="145" totalsRowDxfId="61" dataCellStyle="Moeda">
      <calculatedColumnFormula>TRUNC([APLICAÇÃO]  * SETUP!$A$3, 2)</calculatedColumnFormula>
    </tableColumn>
    <tableColumn id="13" name="LIQD CP" dataDxfId="144" totalsRowDxfId="60" dataCellStyle="Moeda">
      <calculatedColumnFormula>TRUNC([APLICAÇÃO]  * SETUP!$B$3, 2)</calculatedColumnFormula>
    </tableColumn>
    <tableColumn id="14" name="REG CP" dataDxfId="143" totalsRowDxfId="59" dataCellStyle="Moeda">
      <calculatedColumnFormula>TRUNC([APLICAÇÃO]  * SETUP!$C$3, 2)</calculatedColumnFormula>
    </tableColumn>
    <tableColumn id="16" name="ISS CP" dataDxfId="142" totalsRowDxfId="58" dataCellStyle="Moeda">
      <calculatedColumnFormula>TRUNC(SETUP!$G$3  * SETUP!$H$3, 2)</calculatedColumnFormula>
    </tableColumn>
    <tableColumn id="19" name="OUTRAS CP" dataDxfId="141" totalsRowDxfId="57" dataCellStyle="Moeda">
      <calculatedColumnFormula>ROUND(SETUP!$G$3 * SETUP!$I$3, 2)</calculatedColumnFormula>
    </tableColumn>
    <tableColumn id="18" name="TAXA CP" dataDxfId="140" totalsRowDxfId="56" dataCellStyle="Moeda">
      <calculatedColumnFormula>SETUP!$G$3 + SUM(Tabela13[[#This Row],[EMOL CP]]:Tabela13[[#This Row],[OUTRAS CP]])</calculatedColumnFormula>
    </tableColumn>
    <tableColumn id="25" name="EMOL VD" dataDxfId="139" totalsRowDxfId="55" dataCellStyle="Moeda">
      <calculatedColumnFormula>TRUNC([APLICAÇÃO] * 2  * SETUP!$A$3, 2)</calculatedColumnFormula>
    </tableColumn>
    <tableColumn id="24" name="LIQD VD" dataDxfId="138" totalsRowDxfId="54" dataCellStyle="Moeda">
      <calculatedColumnFormula>TRUNC([APLICAÇÃO] * 2  * SETUP!$B$3, 2)</calculatedColumnFormula>
    </tableColumn>
    <tableColumn id="23" name="REG VD" dataDxfId="137" totalsRowDxfId="53" dataCellStyle="Moeda">
      <calculatedColumnFormula>TRUNC([APLICAÇÃO] * 2  * SETUP!$C$3, 2)</calculatedColumnFormula>
    </tableColumn>
    <tableColumn id="22" name="ISS VD" dataDxfId="136" totalsRowDxfId="52" dataCellStyle="Moeda">
      <calculatedColumnFormula>TRUNC(SETUP!$G$3  * SETUP!$H$3, 2)</calculatedColumnFormula>
    </tableColumn>
    <tableColumn id="21" name="OUTRAS VD" dataDxfId="135" totalsRowDxfId="51" dataCellStyle="Moeda">
      <calculatedColumnFormula>ROUND(SETUP!$G$3 * SETUP!$I$3, 2)</calculatedColumnFormula>
    </tableColumn>
    <tableColumn id="20" name="TAXA VD" dataDxfId="134" totalsRowDxfId="50" dataCellStyle="Moeda">
      <calculatedColumnFormula>SETUP!$G$3 + SUM(Tabela13[[#This Row],[EMOL VD]]:Tabela13[[#This Row],[OUTRAS VD]])</calculatedColumnFormula>
    </tableColumn>
    <tableColumn id="17" name="PREV LUCRO" dataDxfId="133" totalsRowDxfId="49" dataCellStyle="Moeda">
      <calculatedColumnFormula>((([APLICAÇÃO] * 2) - [TAXA VD]) - ([APLICAÇÃO] + [TAXA CP])) * 0.85</calculatedColumnFormula>
    </tableColumn>
    <tableColumn id="7" name="PROTEÇÃO MÊS" dataDxfId="132" totalsRowDxfId="48" dataCellStyle="Moeda">
      <calculatedColumnFormula>IF([LUCRO] &lt; 0, 0, ROUND([LUCRO]*80%, 2))</calculatedColumnFormula>
    </tableColumn>
    <tableColumn id="8" name="REINVESTIR" dataDxfId="131" totalsRowDxfId="47" dataCellStyle="Moeda">
      <calculatedColumnFormula>[LUCRO]-[PROTEÇÃO MÊS]</calculatedColumnFormula>
    </tableColumn>
    <tableColumn id="15" name="TOT RF" dataDxfId="43" totalsRowDxfId="46" dataCellStyle="Moeda">
      <calculatedColumnFormula>SUMPRODUCT(N([TRADE] &lt;= Tabela13[[#This Row],[TRADE]]), [PROTEÇÃO MÊS]) - [APORTE RF]</calculatedColumnFormula>
    </tableColumn>
    <tableColumn id="27" name="PATRIMÔNIO" dataDxfId="130" totalsRowDxfId="45" dataCellStyle="Moeda">
      <calculatedColumnFormula>[TOT RF] + [REINVESTIR] + [APLICAÇÃO]</calculatedColumnFormula>
    </tableColumn>
    <tableColumn id="6" name="%" dataDxfId="129" totalsRowDxfId="44" dataCellStyle="Porcentagem">
      <calculatedColumnFormula>IF(AND([PROTEÇÃO MÊS] &gt; 0, ([TOT RF] - [PROTEÇÃO MÊS]) &gt; 0), [PROTEÇÃO MÊS] / ([TOT RF] - [PROTEÇÃO MÊS]),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134" displayName="Tabela134" ref="A1:AC32" totalsRowCount="1" headerRowDxfId="128">
  <autoFilter ref="A1:AC31"/>
  <tableColumns count="29">
    <tableColumn id="1" name="TRADE" totalsRowLabel="Total" dataDxfId="127" totalsRowDxfId="126"/>
    <tableColumn id="2" name="DATA" dataDxfId="125" totalsRowDxfId="124"/>
    <tableColumn id="12" name="RENDA FIXA" dataDxfId="123" totalsRowDxfId="122" dataCellStyle="Moeda"/>
    <tableColumn id="26" name="APORTE RF" dataDxfId="121" totalsRowDxfId="120" dataCellStyle="Moeda"/>
    <tableColumn id="9" name="SAQUE" dataDxfId="119" totalsRowDxfId="118" dataCellStyle="Moeda"/>
    <tableColumn id="5" name="LUCRO" dataDxfId="117" totalsRowDxfId="116" dataCellStyle="Moeda"/>
    <tableColumn id="3" name="APORTE" dataDxfId="115" totalsRowDxfId="114" dataCellStyle="Moeda">
      <calculatedColumnFormula>100</calculatedColumnFormula>
    </tableColumn>
    <tableColumn id="4" name="MONTANTE" dataDxfId="113" totalsRowDxfId="112" dataCellStyle="Moeda">
      <calculatedColumnFormula>SUMPRODUCT(N([TRADE] &lt;= Tabela134[[#This Row],[TRADE]]), [APORTE]) + SUMPRODUCT(N([TRADE] &lt;= Tabela134[[#This Row],[TRADE]]), [APORTE RF])</calculatedColumnFormula>
    </tableColumn>
    <tableColumn id="10" name="APLICAÇÃO" dataDxfId="111" totalsRowDxfId="110" dataCellStyle="Moeda">
      <calculatedColumnFormula>[MONTANTE] - SUMPRODUCT(N([TRADE] &lt;= Tabela134[[#This Row],[TRADE]]), [SAQUE]) + SUMPRODUCT(N([TRADE] &lt; Tabela134[[#This Row],[TRADE]]), [REINVESTIR])</calculatedColumnFormula>
    </tableColumn>
    <tableColumn id="11" name="EMOL CP" dataDxfId="109" totalsRowDxfId="108" dataCellStyle="Moeda">
      <calculatedColumnFormula>TRUNC([APLICAÇÃO]  * SETUP!$A$3, 2)</calculatedColumnFormula>
    </tableColumn>
    <tableColumn id="13" name="LIQD CP" dataDxfId="107" totalsRowDxfId="106" dataCellStyle="Moeda">
      <calculatedColumnFormula>TRUNC([APLICAÇÃO]  * SETUP!$B$3, 2)</calculatedColumnFormula>
    </tableColumn>
    <tableColumn id="14" name="REG CP" dataDxfId="105" totalsRowDxfId="104" dataCellStyle="Moeda">
      <calculatedColumnFormula>TRUNC([APLICAÇÃO]  * SETUP!$C$3, 2)</calculatedColumnFormula>
    </tableColumn>
    <tableColumn id="16" name="ISS CP" dataDxfId="103" totalsRowDxfId="102" dataCellStyle="Moeda">
      <calculatedColumnFormula>TRUNC(SETUP!$G$3  * SETUP!$H$3, 2)</calculatedColumnFormula>
    </tableColumn>
    <tableColumn id="19" name="OUTRAS CP" dataDxfId="101" totalsRowDxfId="100" dataCellStyle="Moeda">
      <calculatedColumnFormula>ROUND(SETUP!$G$3 * SETUP!$I$3, 2)</calculatedColumnFormula>
    </tableColumn>
    <tableColumn id="18" name="TAXA CP" dataDxfId="99" totalsRowDxfId="98" dataCellStyle="Moeda">
      <calculatedColumnFormula>SETUP!$G$3 + SUM(Tabela134[[#This Row],[EMOL CP]]:Tabela134[[#This Row],[OUTRAS CP]])</calculatedColumnFormula>
    </tableColumn>
    <tableColumn id="25" name="EMOL VD" dataDxfId="97" totalsRowDxfId="96" dataCellStyle="Moeda">
      <calculatedColumnFormula>TRUNC([APLICAÇÃO] * 2  * SETUP!$A$3, 2)</calculatedColumnFormula>
    </tableColumn>
    <tableColumn id="24" name="LIQD VD" dataDxfId="95" totalsRowDxfId="94" dataCellStyle="Moeda">
      <calculatedColumnFormula>TRUNC([APLICAÇÃO] * 2  * SETUP!$B$3, 2)</calculatedColumnFormula>
    </tableColumn>
    <tableColumn id="23" name="REG VD" dataDxfId="93" totalsRowDxfId="92" dataCellStyle="Moeda">
      <calculatedColumnFormula>TRUNC([APLICAÇÃO] * 2  * SETUP!$C$3, 2)</calculatedColumnFormula>
    </tableColumn>
    <tableColumn id="22" name="ISS VD" dataDxfId="91" totalsRowDxfId="90" dataCellStyle="Moeda">
      <calculatedColumnFormula>TRUNC(SETUP!$G$3  * SETUP!$H$3, 2)</calculatedColumnFormula>
    </tableColumn>
    <tableColumn id="21" name="OUTRAS VD" dataDxfId="89" totalsRowDxfId="88" dataCellStyle="Moeda">
      <calculatedColumnFormula>ROUND(SETUP!$G$3 * SETUP!$I$3, 2)</calculatedColumnFormula>
    </tableColumn>
    <tableColumn id="20" name="TAXA VD" dataDxfId="87" totalsRowDxfId="86" dataCellStyle="Moeda">
      <calculatedColumnFormula>SETUP!$G$3 + SUM(Tabela134[[#This Row],[EMOL VD]]:Tabela134[[#This Row],[OUTRAS VD]])</calculatedColumnFormula>
    </tableColumn>
    <tableColumn id="17" name="PREV LUCRO" dataDxfId="85" totalsRowDxfId="84" dataCellStyle="Moeda">
      <calculatedColumnFormula>((([APLICAÇÃO] * 2) - [TAXA VD]) - ([APLICAÇÃO] + [TAXA CP])) * 0.85</calculatedColumnFormula>
    </tableColumn>
    <tableColumn id="28" name="PERDA MAX" dataDxfId="83" totalsRowDxfId="82" dataCellStyle="Moeda">
      <calculatedColumnFormula>[APLICAÇÃO] - (ROUND([RENDA FIXA] * 0.1,2))</calculatedColumnFormula>
    </tableColumn>
    <tableColumn id="29" name="% PERDA" dataDxfId="81" totalsRowDxfId="80" dataCellStyle="Porcentagem">
      <calculatedColumnFormula>Tabela134[[#This Row],[PERDA MAX]]/Tabela134[[#This Row],[APLICAÇÃO]]</calculatedColumnFormula>
    </tableColumn>
    <tableColumn id="6" name="NO BOLSO" dataDxfId="79" totalsRowDxfId="78">
      <calculatedColumnFormula>IF([LUCRO] &lt; ([RENDA FIXA]/2), 0.8, 0.8)</calculatedColumnFormula>
    </tableColumn>
    <tableColumn id="7" name="PROTEÇÃO MÊS" dataDxfId="77" totalsRowDxfId="76" dataCellStyle="Moeda">
      <calculatedColumnFormula>IF([LUCRO] &lt; 0, 0, ROUND([LUCRO]*[NO BOLSO], 2))</calculatedColumnFormula>
    </tableColumn>
    <tableColumn id="8" name="REINVESTIR" dataDxfId="75" totalsRowDxfId="74" dataCellStyle="Moeda">
      <calculatedColumnFormula>[LUCRO]-[PROTEÇÃO MÊS]</calculatedColumnFormula>
    </tableColumn>
    <tableColumn id="15" name="TOT RF" dataDxfId="73" totalsRowDxfId="72" dataCellStyle="Moeda">
      <calculatedColumnFormula>[RENDA FIXA] + [PROTEÇÃO MÊS] - [APORTE RF]</calculatedColumnFormula>
    </tableColumn>
    <tableColumn id="27" name="PATRIMÔNIO" dataDxfId="71" totalsRowDxfId="70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1:F6" totalsRowCount="1" headerRowDxfId="30" dataDxfId="29" dataCellStyle="Moeda">
  <autoFilter ref="A1:F5">
    <filterColumn colId="0"/>
    <filterColumn colId="3"/>
    <filterColumn colId="4"/>
    <filterColumn colId="5"/>
  </autoFilter>
  <tableColumns count="6">
    <tableColumn id="6" name="DATA" totalsRowLabel="Total" dataDxfId="41" totalsRowDxfId="42" dataCellStyle="Moeda">
      <calculatedColumnFormula>'RESUMO DE PROTEÇÃO'!A2</calculatedColumnFormula>
    </tableColumn>
    <tableColumn id="1" name="APLICAÇÃO" totalsRowFunction="sum" dataDxfId="39" totalsRowDxfId="40" dataCellStyle="Moeda">
      <calculatedColumnFormula>'RESUMO DE PROTEÇÃO'!E2</calculatedColumnFormula>
    </tableColumn>
    <tableColumn id="2" name="TESOURO DIRETO" totalsRowFunction="sum" dataDxfId="37" totalsRowDxfId="38" dataCellStyle="Moeda">
      <calculatedColumnFormula>[APLICAÇÃO] * 40%</calculatedColumnFormula>
    </tableColumn>
    <tableColumn id="3" name="FUNDO AÇÕES" totalsRowFunction="sum" dataDxfId="35" totalsRowDxfId="36" dataCellStyle="Moeda">
      <calculatedColumnFormula>[APLICAÇÃO] * 10%</calculatedColumnFormula>
    </tableColumn>
    <tableColumn id="4" name="FUNDOS MM" totalsRowFunction="sum" dataDxfId="33" totalsRowDxfId="34" dataCellStyle="Moeda">
      <calculatedColumnFormula>[APLICAÇÃO] * 25%</calculatedColumnFormula>
    </tableColumn>
    <tableColumn id="5" name="FUNDOS RF E REFER." totalsRowFunction="sum" dataDxfId="31" totalsRowDxfId="32" dataCellStyle="Moeda">
      <calculatedColumnFormula>[APLICAÇÃO] * 25%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Z32"/>
  <sheetViews>
    <sheetView tabSelected="1" workbookViewId="0">
      <selection activeCell="Y31" sqref="Y31"/>
    </sheetView>
  </sheetViews>
  <sheetFormatPr defaultRowHeight="11.25"/>
  <cols>
    <col min="1" max="1" width="7.5703125" style="1" bestFit="1" customWidth="1"/>
    <col min="2" max="2" width="6.85546875" style="20" bestFit="1" customWidth="1"/>
    <col min="3" max="3" width="10.140625" style="1" bestFit="1" customWidth="1"/>
    <col min="4" max="4" width="8.5703125" style="1" bestFit="1" customWidth="1"/>
    <col min="5" max="5" width="11.5703125" style="3" bestFit="1" customWidth="1"/>
    <col min="6" max="6" width="10.85546875" style="1" customWidth="1"/>
    <col min="7" max="7" width="12.85546875" style="1" hidden="1" customWidth="1"/>
    <col min="8" max="8" width="11.5703125" style="1" bestFit="1" customWidth="1"/>
    <col min="9" max="9" width="7.85546875" style="1" hidden="1" customWidth="1"/>
    <col min="10" max="10" width="7.140625" style="1" hidden="1" customWidth="1"/>
    <col min="11" max="11" width="10.5703125" style="1" hidden="1" customWidth="1"/>
    <col min="12" max="12" width="8.85546875" style="1" hidden="1" customWidth="1"/>
    <col min="13" max="18" width="9.140625" style="1" hidden="1" customWidth="1"/>
    <col min="19" max="19" width="11.42578125" style="1" hidden="1" customWidth="1"/>
    <col min="20" max="20" width="11.5703125" style="1" hidden="1" customWidth="1"/>
    <col min="21" max="21" width="11.42578125" style="12" bestFit="1" customWidth="1"/>
    <col min="22" max="22" width="13.42578125" style="1" bestFit="1" customWidth="1"/>
    <col min="23" max="23" width="11.5703125" style="1" bestFit="1" customWidth="1"/>
    <col min="24" max="24" width="12.85546875" style="2" bestFit="1" customWidth="1"/>
    <col min="25" max="25" width="12.85546875" style="1" bestFit="1" customWidth="1"/>
    <col min="26" max="26" width="7.7109375" style="4" bestFit="1" customWidth="1"/>
    <col min="27" max="16384" width="9.140625" style="1"/>
  </cols>
  <sheetData>
    <row r="1" spans="1:26">
      <c r="A1" s="2" t="s">
        <v>30</v>
      </c>
      <c r="B1" s="19" t="s">
        <v>3</v>
      </c>
      <c r="C1" s="2" t="s">
        <v>31</v>
      </c>
      <c r="D1" s="13" t="s">
        <v>35</v>
      </c>
      <c r="E1" s="13" t="s">
        <v>1</v>
      </c>
      <c r="F1" s="2" t="s">
        <v>0</v>
      </c>
      <c r="G1" s="2" t="s">
        <v>4</v>
      </c>
      <c r="H1" s="2" t="s">
        <v>6</v>
      </c>
      <c r="I1" s="2" t="s">
        <v>15</v>
      </c>
      <c r="J1" s="2" t="s">
        <v>16</v>
      </c>
      <c r="K1" s="2" t="s">
        <v>17</v>
      </c>
      <c r="L1" s="2" t="s">
        <v>21</v>
      </c>
      <c r="M1" s="2" t="s">
        <v>20</v>
      </c>
      <c r="N1" s="2" t="s">
        <v>19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8</v>
      </c>
      <c r="V1" s="2" t="s">
        <v>36</v>
      </c>
      <c r="W1" s="2" t="s">
        <v>5</v>
      </c>
      <c r="X1" s="2" t="s">
        <v>9</v>
      </c>
      <c r="Y1" s="2" t="s">
        <v>32</v>
      </c>
      <c r="Z1" s="35" t="s">
        <v>38</v>
      </c>
    </row>
    <row r="2" spans="1:26">
      <c r="A2" s="1">
        <v>1</v>
      </c>
      <c r="B2" s="20">
        <v>41000</v>
      </c>
      <c r="C2" s="3">
        <v>0</v>
      </c>
      <c r="D2" s="3">
        <v>0</v>
      </c>
      <c r="E2" s="3">
        <v>366.88</v>
      </c>
      <c r="F2" s="3">
        <v>400</v>
      </c>
      <c r="G2" s="3">
        <f>SUMPRODUCT(N([TRADE] &lt;= Tabela1[[#This Row],[TRADE]]), [APORTE]) + SUMPRODUCT(N([TRADE] &lt;= Tabela1[[#This Row],[TRADE]]), [APORTE RF])</f>
        <v>400</v>
      </c>
      <c r="H2" s="3">
        <f>[MONTANTE] - SUMPRODUCT(N([TRADE] &lt;= Tabela1[[#This Row],[TRADE]]), [SAQUE]) + SUMPRODUCT(N([TRADE] &lt; Tabela1[[#This Row],[TRADE]]), [REINVESTIR])</f>
        <v>400</v>
      </c>
      <c r="I2" s="3">
        <f>TRUNC([APLICAÇÃO]  * SETUP!$A$3, 2)</f>
        <v>0.14000000000000001</v>
      </c>
      <c r="J2" s="3">
        <f>TRUNC([APLICAÇÃO]  * SETUP!$B$3, 2)</f>
        <v>0.11</v>
      </c>
      <c r="K2" s="3">
        <f>TRUNC([APLICAÇÃO]  * SETUP!$C$3, 2)</f>
        <v>0.27</v>
      </c>
      <c r="L2" s="3">
        <f>TRUNC(SETUP!$G$3  * SETUP!$H$3, 2)</f>
        <v>0.28999999999999998</v>
      </c>
      <c r="M2" s="3">
        <f>ROUND(SETUP!$G$3 * SETUP!$I$3, 2)</f>
        <v>0.57999999999999996</v>
      </c>
      <c r="N2" s="3">
        <f>SETUP!$G$3 + SUM(Tabela1[[#This Row],[EMOL CP]]:Tabela1[[#This Row],[OUTRAS CP]])</f>
        <v>16.29</v>
      </c>
      <c r="O2" s="3">
        <f>TRUNC([APLICAÇÃO] * 2  * SETUP!$A$3, 2)</f>
        <v>0.28999999999999998</v>
      </c>
      <c r="P2" s="3">
        <f>TRUNC([APLICAÇÃO] * 2  * SETUP!$B$3, 2)</f>
        <v>0.22</v>
      </c>
      <c r="Q2" s="3">
        <f>TRUNC([APLICAÇÃO] * 2  * SETUP!$C$3, 2)</f>
        <v>0.55000000000000004</v>
      </c>
      <c r="R2" s="3">
        <f>TRUNC(SETUP!$G$3  * SETUP!$H$3, 2)</f>
        <v>0.28999999999999998</v>
      </c>
      <c r="S2" s="3">
        <f>ROUND(SETUP!$G$3 * SETUP!$I$3, 2)</f>
        <v>0.57999999999999996</v>
      </c>
      <c r="T2" s="3">
        <f>SETUP!$G$3 + SUM(Tabela1[[#This Row],[EMOL VD]]:Tabela1[[#This Row],[OUTRAS VD]])</f>
        <v>16.830000000000002</v>
      </c>
      <c r="U2" s="60">
        <f>((([APLICAÇÃO] * 2) - [TAXA VD]) - ([APLICAÇÃO] + [TAXA CP])) * 0.85</f>
        <v>311.84799999999996</v>
      </c>
      <c r="V2" s="3">
        <f>IF([LUCRO] &lt; 0, 0, ROUND([LUCRO]*80%, 2))</f>
        <v>293.5</v>
      </c>
      <c r="W2" s="3">
        <f>[LUCRO]-[PROTEÇÃO MÊS]</f>
        <v>73.38</v>
      </c>
      <c r="X2" s="13">
        <f>SUMPRODUCT(N([TRADE] &lt;= Tabela1[[#This Row],[TRADE]]), [PROTEÇÃO MÊS]) - [APORTE RF]</f>
        <v>293.5</v>
      </c>
      <c r="Y2" s="6">
        <f>[TOT RF] + [REINVESTIR]</f>
        <v>366.88</v>
      </c>
      <c r="Z2" s="36">
        <f>IF(AND([PROTEÇÃO MÊS] &gt; 0, ([TOT RF] - [PROTEÇÃO MÊS]) &gt; 0), [PROTEÇÃO MÊS] / ([TOT RF] - [PROTEÇÃO MÊS]), 0)</f>
        <v>0</v>
      </c>
    </row>
    <row r="3" spans="1:26">
      <c r="A3" s="1">
        <v>2</v>
      </c>
      <c r="B3" s="20">
        <v>41030</v>
      </c>
      <c r="C3" s="3">
        <v>0</v>
      </c>
      <c r="D3" s="3">
        <v>0</v>
      </c>
      <c r="E3" s="3">
        <v>0</v>
      </c>
      <c r="F3" s="3">
        <v>400</v>
      </c>
      <c r="G3" s="3">
        <f>SUMPRODUCT(N([TRADE] &lt;= Tabela1[[#This Row],[TRADE]]), [APORTE]) + SUMPRODUCT(N([TRADE] &lt;= Tabela1[[#This Row],[TRADE]]), [APORTE RF])</f>
        <v>800</v>
      </c>
      <c r="H3" s="3">
        <f>[MONTANTE] - SUMPRODUCT(N([TRADE] &lt;= Tabela1[[#This Row],[TRADE]]), [SAQUE]) + SUMPRODUCT(N([TRADE] &lt; Tabela1[[#This Row],[TRADE]]), [REINVESTIR])</f>
        <v>873.38</v>
      </c>
      <c r="I3" s="3">
        <f>TRUNC([APLICAÇÃO]  * SETUP!$A$3, 2)</f>
        <v>0.32</v>
      </c>
      <c r="J3" s="3">
        <f>TRUNC([APLICAÇÃO]  * SETUP!$B$3, 2)</f>
        <v>0.24</v>
      </c>
      <c r="K3" s="3">
        <f>TRUNC([APLICAÇÃO]  * SETUP!$C$3, 2)</f>
        <v>0.6</v>
      </c>
      <c r="L3" s="3">
        <f>TRUNC(SETUP!$G$3  * SETUP!$H$3, 2)</f>
        <v>0.28999999999999998</v>
      </c>
      <c r="M3" s="3">
        <f>ROUND(SETUP!$G$3 * SETUP!$I$3, 2)</f>
        <v>0.57999999999999996</v>
      </c>
      <c r="N3" s="3">
        <f>SETUP!$G$3 + SUM(Tabela1[[#This Row],[EMOL CP]]:Tabela1[[#This Row],[OUTRAS CP]])</f>
        <v>16.93</v>
      </c>
      <c r="O3" s="3">
        <f>TRUNC([APLICAÇÃO] * 2  * SETUP!$A$3, 2)</f>
        <v>0.64</v>
      </c>
      <c r="P3" s="3">
        <f>TRUNC([APLICAÇÃO] * 2  * SETUP!$B$3, 2)</f>
        <v>0.48</v>
      </c>
      <c r="Q3" s="3">
        <f>TRUNC([APLICAÇÃO] * 2  * SETUP!$C$3, 2)</f>
        <v>1.21</v>
      </c>
      <c r="R3" s="3">
        <f>TRUNC(SETUP!$G$3  * SETUP!$H$3, 2)</f>
        <v>0.28999999999999998</v>
      </c>
      <c r="S3" s="3">
        <f>ROUND(SETUP!$G$3 * SETUP!$I$3, 2)</f>
        <v>0.57999999999999996</v>
      </c>
      <c r="T3" s="3">
        <f>SETUP!$G$3 + SUM(Tabela1[[#This Row],[EMOL VD]]:Tabela1[[#This Row],[OUTRAS VD]])</f>
        <v>18.100000000000001</v>
      </c>
      <c r="U3" s="60">
        <f>((([APLICAÇÃO] * 2) - [TAXA VD]) - ([APLICAÇÃO] + [TAXA CP])) * 0.85</f>
        <v>712.59750000000008</v>
      </c>
      <c r="V3" s="3">
        <f>IF([LUCRO] &lt; 0, 0, ROUND([LUCRO]*80%, 2))</f>
        <v>0</v>
      </c>
      <c r="W3" s="3">
        <f>[LUCRO]-[PROTEÇÃO MÊS]</f>
        <v>0</v>
      </c>
      <c r="X3" s="13">
        <f>SUMPRODUCT(N([TRADE] &lt;= Tabela1[[#This Row],[TRADE]]), [PROTEÇÃO MÊS]) - [APORTE RF]</f>
        <v>293.5</v>
      </c>
      <c r="Y3" s="6">
        <f>[TOT RF] + [REINVESTIR] + [APLICAÇÃO]</f>
        <v>1166.8800000000001</v>
      </c>
      <c r="Z3" s="36">
        <f>IF(AND([PROTEÇÃO MÊS] &gt; 0, ([TOT RF] - [PROTEÇÃO MÊS]) &gt; 0), [PROTEÇÃO MÊS] / ([TOT RF] - [PROTEÇÃO MÊS]), 0)</f>
        <v>0</v>
      </c>
    </row>
    <row r="4" spans="1:26">
      <c r="A4" s="1">
        <v>3</v>
      </c>
      <c r="B4" s="20">
        <v>41061</v>
      </c>
      <c r="C4" s="3"/>
      <c r="D4" s="3"/>
      <c r="E4" s="3">
        <v>780.05</v>
      </c>
      <c r="F4" s="3">
        <v>400</v>
      </c>
      <c r="G4" s="6">
        <f>SUMPRODUCT(N([TRADE] &lt;= Tabela1[[#This Row],[TRADE]]), [APORTE]) + SUMPRODUCT(N([TRADE] &lt;= Tabela1[[#This Row],[TRADE]]), [APORTE RF])</f>
        <v>1200</v>
      </c>
      <c r="H4" s="6">
        <f>[MONTANTE] - SUMPRODUCT(N([TRADE] &lt;= Tabela1[[#This Row],[TRADE]]), [SAQUE]) + SUMPRODUCT(N([TRADE] &lt; Tabela1[[#This Row],[TRADE]]), [REINVESTIR])</f>
        <v>1273.3800000000001</v>
      </c>
      <c r="I4" s="6">
        <f>TRUNC([APLICAÇÃO]  * SETUP!$A$3, 2)</f>
        <v>0.47</v>
      </c>
      <c r="J4" s="6">
        <f>TRUNC([APLICAÇÃO]  * SETUP!$B$3, 2)</f>
        <v>0.35</v>
      </c>
      <c r="K4" s="6">
        <f>TRUNC([APLICAÇÃO]  * SETUP!$C$3, 2)</f>
        <v>0.88</v>
      </c>
      <c r="L4" s="6">
        <f>TRUNC(SETUP!$G$3  * SETUP!$H$3, 2)</f>
        <v>0.28999999999999998</v>
      </c>
      <c r="M4" s="6">
        <f>ROUND(SETUP!$G$3 * SETUP!$I$3, 2)</f>
        <v>0.57999999999999996</v>
      </c>
      <c r="N4" s="6">
        <f>SETUP!$G$3 + SUM(Tabela1[[#This Row],[EMOL CP]]:Tabela1[[#This Row],[OUTRAS CP]])</f>
        <v>17.47</v>
      </c>
      <c r="O4" s="6">
        <f>TRUNC([APLICAÇÃO] * 2  * SETUP!$A$3, 2)</f>
        <v>0.94</v>
      </c>
      <c r="P4" s="6">
        <f>TRUNC([APLICAÇÃO] * 2  * SETUP!$B$3, 2)</f>
        <v>0.7</v>
      </c>
      <c r="Q4" s="6">
        <f>TRUNC([APLICAÇÃO] * 2  * SETUP!$C$3, 2)</f>
        <v>1.76</v>
      </c>
      <c r="R4" s="6">
        <f>TRUNC(SETUP!$G$3  * SETUP!$H$3, 2)</f>
        <v>0.28999999999999998</v>
      </c>
      <c r="S4" s="6">
        <f>ROUND(SETUP!$G$3 * SETUP!$I$3, 2)</f>
        <v>0.57999999999999996</v>
      </c>
      <c r="T4" s="6">
        <f>SETUP!$G$3 + SUM(Tabela1[[#This Row],[EMOL VD]]:Tabela1[[#This Row],[OUTRAS VD]])</f>
        <v>19.170000000000002</v>
      </c>
      <c r="U4" s="61">
        <f>((([APLICAÇÃO] * 2) - [TAXA VD]) - ([APLICAÇÃO] + [TAXA CP])) * 0.85</f>
        <v>1051.229</v>
      </c>
      <c r="V4" s="6">
        <f>IF([LUCRO] &lt; 0, 0, ROUND([LUCRO]*80%, 2))</f>
        <v>624.04</v>
      </c>
      <c r="W4" s="6">
        <f>[LUCRO]-[PROTEÇÃO MÊS]</f>
        <v>156.01</v>
      </c>
      <c r="X4" s="50">
        <f>SUMPRODUCT(N([TRADE] &lt;= Tabela1[[#This Row],[TRADE]]), [PROTEÇÃO MÊS]) - [APORTE RF]</f>
        <v>917.54</v>
      </c>
      <c r="Y4" s="6">
        <f>[TOT RF] + [REINVESTIR] + [APLICAÇÃO]</f>
        <v>2346.9300000000003</v>
      </c>
      <c r="Z4" s="36">
        <f>IF(AND([PROTEÇÃO MÊS] &gt; 0, ([TOT RF] - [PROTEÇÃO MÊS]) &gt; 0), [PROTEÇÃO MÊS] / ([TOT RF] - [PROTEÇÃO MÊS]), 0)</f>
        <v>2.1262010221465077</v>
      </c>
    </row>
    <row r="5" spans="1:26">
      <c r="A5" s="1">
        <v>4</v>
      </c>
      <c r="B5" s="20">
        <v>41091</v>
      </c>
      <c r="C5" s="3"/>
      <c r="D5" s="3"/>
      <c r="E5" s="3">
        <v>-925.8</v>
      </c>
      <c r="F5" s="3">
        <v>400</v>
      </c>
      <c r="G5" s="6">
        <f>SUMPRODUCT(N([TRADE] &lt;= Tabela1[[#This Row],[TRADE]]), [APORTE]) + SUMPRODUCT(N([TRADE] &lt;= Tabela1[[#This Row],[TRADE]]), [APORTE RF])</f>
        <v>1600</v>
      </c>
      <c r="H5" s="6">
        <f>[MONTANTE] - SUMPRODUCT(N([TRADE] &lt;= Tabela1[[#This Row],[TRADE]]), [SAQUE]) + SUMPRODUCT(N([TRADE] &lt; Tabela1[[#This Row],[TRADE]]), [REINVESTIR])</f>
        <v>1829.3899999999999</v>
      </c>
      <c r="I5" s="6">
        <f>TRUNC([APLICAÇÃO]  * SETUP!$A$3, 2)</f>
        <v>0.67</v>
      </c>
      <c r="J5" s="6">
        <f>TRUNC([APLICAÇÃO]  * SETUP!$B$3, 2)</f>
        <v>0.5</v>
      </c>
      <c r="K5" s="6">
        <f>TRUNC([APLICAÇÃO]  * SETUP!$C$3, 2)</f>
        <v>1.27</v>
      </c>
      <c r="L5" s="6">
        <f>TRUNC(SETUP!$G$3  * SETUP!$H$3, 2)</f>
        <v>0.28999999999999998</v>
      </c>
      <c r="M5" s="6">
        <f>ROUND(SETUP!$G$3 * SETUP!$I$3, 2)</f>
        <v>0.57999999999999996</v>
      </c>
      <c r="N5" s="6">
        <f>SETUP!$G$3 + SUM(Tabela1[[#This Row],[EMOL CP]]:Tabela1[[#This Row],[OUTRAS CP]])</f>
        <v>18.21</v>
      </c>
      <c r="O5" s="6">
        <f>TRUNC([APLICAÇÃO] * 2  * SETUP!$A$3, 2)</f>
        <v>1.35</v>
      </c>
      <c r="P5" s="6">
        <f>TRUNC([APLICAÇÃO] * 2  * SETUP!$B$3, 2)</f>
        <v>1</v>
      </c>
      <c r="Q5" s="6">
        <f>TRUNC([APLICAÇÃO] * 2  * SETUP!$C$3, 2)</f>
        <v>2.54</v>
      </c>
      <c r="R5" s="6">
        <f>TRUNC(SETUP!$G$3  * SETUP!$H$3, 2)</f>
        <v>0.28999999999999998</v>
      </c>
      <c r="S5" s="6">
        <f>ROUND(SETUP!$G$3 * SETUP!$I$3, 2)</f>
        <v>0.57999999999999996</v>
      </c>
      <c r="T5" s="6">
        <f>SETUP!$G$3 + SUM(Tabela1[[#This Row],[EMOL VD]]:Tabela1[[#This Row],[OUTRAS VD]])</f>
        <v>20.66</v>
      </c>
      <c r="U5" s="61">
        <f>((([APLICAÇÃO] * 2) - [TAXA VD]) - ([APLICAÇÃO] + [TAXA CP])) * 0.85</f>
        <v>1521.942</v>
      </c>
      <c r="V5" s="6">
        <f>IF([LUCRO] &lt; 0, 0, ROUND([LUCRO]*80%, 2))</f>
        <v>0</v>
      </c>
      <c r="W5" s="6">
        <f>[LUCRO]-[PROTEÇÃO MÊS]</f>
        <v>-925.8</v>
      </c>
      <c r="X5" s="50">
        <f>SUMPRODUCT(N([TRADE] &lt;= Tabela1[[#This Row],[TRADE]]), [PROTEÇÃO MÊS]) - [APORTE RF]</f>
        <v>917.54</v>
      </c>
      <c r="Y5" s="6">
        <f>[TOT RF] + [REINVESTIR] + [APLICAÇÃO]</f>
        <v>1821.1299999999999</v>
      </c>
      <c r="Z5" s="36">
        <f>IF(AND([PROTEÇÃO MÊS] &gt; 0, ([TOT RF] - [PROTEÇÃO MÊS]) &gt; 0), [PROTEÇÃO MÊS] / ([TOT RF] - [PROTEÇÃO MÊS]), 0)</f>
        <v>0</v>
      </c>
    </row>
    <row r="6" spans="1:26">
      <c r="A6" s="1">
        <v>5</v>
      </c>
      <c r="B6" s="20">
        <v>41122</v>
      </c>
      <c r="C6" s="3"/>
      <c r="D6" s="3"/>
      <c r="E6" s="3">
        <v>1519.92</v>
      </c>
      <c r="F6" s="6">
        <v>923.4</v>
      </c>
      <c r="G6" s="6">
        <f>SUMPRODUCT(N([TRADE] &lt;= Tabela1[[#This Row],[TRADE]]), [APORTE]) + SUMPRODUCT(N([TRADE] &lt;= Tabela1[[#This Row],[TRADE]]), [APORTE RF])</f>
        <v>2523.4</v>
      </c>
      <c r="H6" s="6">
        <f>[MONTANTE] - SUMPRODUCT(N([TRADE] &lt;= Tabela1[[#This Row],[TRADE]]), [SAQUE]) + SUMPRODUCT(N([TRADE] &lt; Tabela1[[#This Row],[TRADE]]), [REINVESTIR])</f>
        <v>1826.9900000000002</v>
      </c>
      <c r="I6" s="6">
        <f>TRUNC([APLICAÇÃO]  * SETUP!$A$3, 2)</f>
        <v>0.67</v>
      </c>
      <c r="J6" s="6">
        <f>TRUNC([APLICAÇÃO]  * SETUP!$B$3, 2)</f>
        <v>0.5</v>
      </c>
      <c r="K6" s="6">
        <f>TRUNC([APLICAÇÃO]  * SETUP!$C$3, 2)</f>
        <v>1.26</v>
      </c>
      <c r="L6" s="6">
        <f>TRUNC(SETUP!$G$3  * SETUP!$H$3, 2)</f>
        <v>0.28999999999999998</v>
      </c>
      <c r="M6" s="6">
        <f>ROUND(SETUP!$G$3 * SETUP!$I$3, 2)</f>
        <v>0.57999999999999996</v>
      </c>
      <c r="N6" s="6">
        <f>SETUP!$G$3 + SUM(Tabela1[[#This Row],[EMOL CP]]:Tabela1[[#This Row],[OUTRAS CP]])</f>
        <v>18.2</v>
      </c>
      <c r="O6" s="6">
        <f>TRUNC([APLICAÇÃO] * 2  * SETUP!$A$3, 2)</f>
        <v>1.35</v>
      </c>
      <c r="P6" s="6">
        <f>TRUNC([APLICAÇÃO] * 2  * SETUP!$B$3, 2)</f>
        <v>1</v>
      </c>
      <c r="Q6" s="6">
        <f>TRUNC([APLICAÇÃO] * 2  * SETUP!$C$3, 2)</f>
        <v>2.5299999999999998</v>
      </c>
      <c r="R6" s="6">
        <f>TRUNC(SETUP!$G$3  * SETUP!$H$3, 2)</f>
        <v>0.28999999999999998</v>
      </c>
      <c r="S6" s="6">
        <f>ROUND(SETUP!$G$3 * SETUP!$I$3, 2)</f>
        <v>0.57999999999999996</v>
      </c>
      <c r="T6" s="6">
        <f>SETUP!$G$3 + SUM(Tabela1[[#This Row],[EMOL VD]]:Tabela1[[#This Row],[OUTRAS VD]])</f>
        <v>20.65</v>
      </c>
      <c r="U6" s="61">
        <f>((([APLICAÇÃO] * 2) - [TAXA VD]) - ([APLICAÇÃO] + [TAXA CP])) * 0.85</f>
        <v>1519.9190000000001</v>
      </c>
      <c r="V6" s="6">
        <f>IF([LUCRO] &lt; 0, 0, ROUND([LUCRO]*80%, 2))</f>
        <v>1215.94</v>
      </c>
      <c r="W6" s="6">
        <f>[LUCRO]-[PROTEÇÃO MÊS]</f>
        <v>303.98</v>
      </c>
      <c r="X6" s="50">
        <f>SUMPRODUCT(N([TRADE] &lt;= Tabela1[[#This Row],[TRADE]]), [PROTEÇÃO MÊS]) - [APORTE RF]</f>
        <v>2133.48</v>
      </c>
      <c r="Y6" s="6">
        <f>[TOT RF] + [REINVESTIR] + [APLICAÇÃO]</f>
        <v>4264.4500000000007</v>
      </c>
      <c r="Z6" s="36">
        <f>IF(AND([PROTEÇÃO MÊS] &gt; 0, ([TOT RF] - [PROTEÇÃO MÊS]) &gt; 0), [PROTEÇÃO MÊS] / ([TOT RF] - [PROTEÇÃO MÊS]), 0)</f>
        <v>1.3252174292128955</v>
      </c>
    </row>
    <row r="7" spans="1:26">
      <c r="A7" s="1">
        <v>6</v>
      </c>
      <c r="B7" s="20">
        <v>41153</v>
      </c>
      <c r="C7" s="3"/>
      <c r="D7" s="3"/>
      <c r="E7" s="3">
        <v>2558.9899999999998</v>
      </c>
      <c r="F7" s="6">
        <v>923.4</v>
      </c>
      <c r="G7" s="6">
        <f>SUMPRODUCT(N([TRADE] &lt;= Tabela1[[#This Row],[TRADE]]), [APORTE]) + SUMPRODUCT(N([TRADE] &lt;= Tabela1[[#This Row],[TRADE]]), [APORTE RF])</f>
        <v>3446.8</v>
      </c>
      <c r="H7" s="6">
        <f>[MONTANTE] - SUMPRODUCT(N([TRADE] &lt;= Tabela1[[#This Row],[TRADE]]), [SAQUE]) + SUMPRODUCT(N([TRADE] &lt; Tabela1[[#This Row],[TRADE]]), [REINVESTIR])</f>
        <v>3054.3700000000003</v>
      </c>
      <c r="I7" s="6">
        <f>TRUNC([APLICAÇÃO]  * SETUP!$A$3, 2)</f>
        <v>1.1299999999999999</v>
      </c>
      <c r="J7" s="6">
        <f>TRUNC([APLICAÇÃO]  * SETUP!$B$3, 2)</f>
        <v>0.83</v>
      </c>
      <c r="K7" s="6">
        <f>TRUNC([APLICAÇÃO]  * SETUP!$C$3, 2)</f>
        <v>2.12</v>
      </c>
      <c r="L7" s="6">
        <f>TRUNC(SETUP!$G$3  * SETUP!$H$3, 2)</f>
        <v>0.28999999999999998</v>
      </c>
      <c r="M7" s="6">
        <f>ROUND(SETUP!$G$3 * SETUP!$I$3, 2)</f>
        <v>0.57999999999999996</v>
      </c>
      <c r="N7" s="6">
        <f>SETUP!$G$3 + SUM(Tabela1[[#This Row],[EMOL CP]]:Tabela1[[#This Row],[OUTRAS CP]])</f>
        <v>19.850000000000001</v>
      </c>
      <c r="O7" s="6">
        <f>TRUNC([APLICAÇÃO] * 2  * SETUP!$A$3, 2)</f>
        <v>2.2599999999999998</v>
      </c>
      <c r="P7" s="6">
        <f>TRUNC([APLICAÇÃO] * 2  * SETUP!$B$3, 2)</f>
        <v>1.67</v>
      </c>
      <c r="Q7" s="6">
        <f>TRUNC([APLICAÇÃO] * 2  * SETUP!$C$3, 2)</f>
        <v>4.24</v>
      </c>
      <c r="R7" s="6">
        <f>TRUNC(SETUP!$G$3  * SETUP!$H$3, 2)</f>
        <v>0.28999999999999998</v>
      </c>
      <c r="S7" s="6">
        <f>ROUND(SETUP!$G$3 * SETUP!$I$3, 2)</f>
        <v>0.57999999999999996</v>
      </c>
      <c r="T7" s="6">
        <f>SETUP!$G$3 + SUM(Tabela1[[#This Row],[EMOL VD]]:Tabela1[[#This Row],[OUTRAS VD]])</f>
        <v>23.939999999999998</v>
      </c>
      <c r="U7" s="61">
        <f>((([APLICAÇÃO] * 2) - [TAXA VD]) - ([APLICAÇÃO] + [TAXA CP])) * 0.85</f>
        <v>2558.9930000000008</v>
      </c>
      <c r="V7" s="6">
        <f>IF([LUCRO] &lt; 0, 0, ROUND([LUCRO]*80%, 2))</f>
        <v>2047.19</v>
      </c>
      <c r="W7" s="6">
        <f>[LUCRO]-[PROTEÇÃO MÊS]</f>
        <v>511.79999999999973</v>
      </c>
      <c r="X7" s="50">
        <f>SUMPRODUCT(N([TRADE] &lt;= Tabela1[[#This Row],[TRADE]]), [PROTEÇÃO MÊS]) - [APORTE RF]</f>
        <v>4180.67</v>
      </c>
      <c r="Y7" s="6">
        <f>[TOT RF] + [REINVESTIR] + [APLICAÇÃO]</f>
        <v>7746.84</v>
      </c>
      <c r="Z7" s="36">
        <f>IF(AND([PROTEÇÃO MÊS] &gt; 0, ([TOT RF] - [PROTEÇÃO MÊS]) &gt; 0), [PROTEÇÃO MÊS] / ([TOT RF] - [PROTEÇÃO MÊS]), 0)</f>
        <v>0.95955434313890919</v>
      </c>
    </row>
    <row r="8" spans="1:26">
      <c r="A8" s="1">
        <v>7</v>
      </c>
      <c r="B8" s="20">
        <v>41183</v>
      </c>
      <c r="C8" s="3"/>
      <c r="D8" s="3"/>
      <c r="E8" s="3">
        <v>3774</v>
      </c>
      <c r="F8" s="6">
        <v>923.4</v>
      </c>
      <c r="G8" s="6">
        <f>SUMPRODUCT(N([TRADE] &lt;= Tabela1[[#This Row],[TRADE]]), [APORTE]) + SUMPRODUCT(N([TRADE] &lt;= Tabela1[[#This Row],[TRADE]]), [APORTE RF])</f>
        <v>4370.2</v>
      </c>
      <c r="H8" s="6">
        <f>[MONTANTE] - SUMPRODUCT(N([TRADE] &lt;= Tabela1[[#This Row],[TRADE]]), [SAQUE]) + SUMPRODUCT(N([TRADE] &lt; Tabela1[[#This Row],[TRADE]]), [REINVESTIR])</f>
        <v>4489.57</v>
      </c>
      <c r="I8" s="6">
        <f>TRUNC([APLICAÇÃO]  * SETUP!$A$3, 2)</f>
        <v>1.66</v>
      </c>
      <c r="J8" s="6">
        <f>TRUNC([APLICAÇÃO]  * SETUP!$B$3, 2)</f>
        <v>1.23</v>
      </c>
      <c r="K8" s="6">
        <f>TRUNC([APLICAÇÃO]  * SETUP!$C$3, 2)</f>
        <v>3.12</v>
      </c>
      <c r="L8" s="6">
        <f>TRUNC(SETUP!$G$3  * SETUP!$H$3, 2)</f>
        <v>0.28999999999999998</v>
      </c>
      <c r="M8" s="6">
        <f>ROUND(SETUP!$G$3 * SETUP!$I$3, 2)</f>
        <v>0.57999999999999996</v>
      </c>
      <c r="N8" s="6">
        <f>SETUP!$G$3 + SUM(Tabela1[[#This Row],[EMOL CP]]:Tabela1[[#This Row],[OUTRAS CP]])</f>
        <v>21.78</v>
      </c>
      <c r="O8" s="6">
        <f>TRUNC([APLICAÇÃO] * 2  * SETUP!$A$3, 2)</f>
        <v>3.32</v>
      </c>
      <c r="P8" s="6">
        <f>TRUNC([APLICAÇÃO] * 2  * SETUP!$B$3, 2)</f>
        <v>2.46</v>
      </c>
      <c r="Q8" s="6">
        <f>TRUNC([APLICAÇÃO] * 2  * SETUP!$C$3, 2)</f>
        <v>6.24</v>
      </c>
      <c r="R8" s="6">
        <f>TRUNC(SETUP!$G$3  * SETUP!$H$3, 2)</f>
        <v>0.28999999999999998</v>
      </c>
      <c r="S8" s="6">
        <f>ROUND(SETUP!$G$3 * SETUP!$I$3, 2)</f>
        <v>0.57999999999999996</v>
      </c>
      <c r="T8" s="6">
        <f>SETUP!$G$3 + SUM(Tabela1[[#This Row],[EMOL VD]]:Tabela1[[#This Row],[OUTRAS VD]])</f>
        <v>27.79</v>
      </c>
      <c r="U8" s="61">
        <f>((([APLICAÇÃO] * 2) - [TAXA VD]) - ([APLICAÇÃO] + [TAXA CP])) * 0.85</f>
        <v>3773.9999999999991</v>
      </c>
      <c r="V8" s="6">
        <f>IF([LUCRO] &lt; 0, 0, ROUND([LUCRO]*80%, 2))</f>
        <v>3019.2</v>
      </c>
      <c r="W8" s="6">
        <f>[LUCRO]-[PROTEÇÃO MÊS]</f>
        <v>754.80000000000018</v>
      </c>
      <c r="X8" s="50">
        <f>SUMPRODUCT(N([TRADE] &lt;= Tabela1[[#This Row],[TRADE]]), [PROTEÇÃO MÊS]) - [APORTE RF]</f>
        <v>7199.87</v>
      </c>
      <c r="Y8" s="6">
        <f>[TOT RF] + [REINVESTIR] + [APLICAÇÃO]</f>
        <v>12444.24</v>
      </c>
      <c r="Z8" s="36">
        <f>IF(AND([PROTEÇÃO MÊS] &gt; 0, ([TOT RF] - [PROTEÇÃO MÊS]) &gt; 0), [PROTEÇÃO MÊS] / ([TOT RF] - [PROTEÇÃO MÊS]), 0)</f>
        <v>0.72218089444993261</v>
      </c>
    </row>
    <row r="9" spans="1:26">
      <c r="A9" s="1">
        <v>8</v>
      </c>
      <c r="B9" s="20">
        <v>41214</v>
      </c>
      <c r="C9" s="3"/>
      <c r="D9" s="3"/>
      <c r="E9" s="3">
        <v>5194.74</v>
      </c>
      <c r="F9" s="6">
        <v>923.4</v>
      </c>
      <c r="G9" s="6">
        <f>SUMPRODUCT(N([TRADE] &lt;= Tabela1[[#This Row],[TRADE]]), [APORTE]) + SUMPRODUCT(N([TRADE] &lt;= Tabela1[[#This Row],[TRADE]]), [APORTE RF])</f>
        <v>5293.5999999999995</v>
      </c>
      <c r="H9" s="6">
        <f>[MONTANTE] - SUMPRODUCT(N([TRADE] &lt;= Tabela1[[#This Row],[TRADE]]), [SAQUE]) + SUMPRODUCT(N([TRADE] &lt; Tabela1[[#This Row],[TRADE]]), [REINVESTIR])</f>
        <v>6167.7699999999995</v>
      </c>
      <c r="I9" s="6">
        <f>TRUNC([APLICAÇÃO]  * SETUP!$A$3, 2)</f>
        <v>2.2799999999999998</v>
      </c>
      <c r="J9" s="6">
        <f>TRUNC([APLICAÇÃO]  * SETUP!$B$3, 2)</f>
        <v>1.69</v>
      </c>
      <c r="K9" s="6">
        <f>TRUNC([APLICAÇÃO]  * SETUP!$C$3, 2)</f>
        <v>4.28</v>
      </c>
      <c r="L9" s="6">
        <f>TRUNC(SETUP!$G$3  * SETUP!$H$3, 2)</f>
        <v>0.28999999999999998</v>
      </c>
      <c r="M9" s="6">
        <f>ROUND(SETUP!$G$3 * SETUP!$I$3, 2)</f>
        <v>0.57999999999999996</v>
      </c>
      <c r="N9" s="6">
        <f>SETUP!$G$3 + SUM(Tabela1[[#This Row],[EMOL CP]]:Tabela1[[#This Row],[OUTRAS CP]])</f>
        <v>24.02</v>
      </c>
      <c r="O9" s="6">
        <f>TRUNC([APLICAÇÃO] * 2  * SETUP!$A$3, 2)</f>
        <v>4.5599999999999996</v>
      </c>
      <c r="P9" s="6">
        <f>TRUNC([APLICAÇÃO] * 2  * SETUP!$B$3, 2)</f>
        <v>3.39</v>
      </c>
      <c r="Q9" s="6">
        <f>TRUNC([APLICAÇÃO] * 2  * SETUP!$C$3, 2)</f>
        <v>8.57</v>
      </c>
      <c r="R9" s="6">
        <f>TRUNC(SETUP!$G$3  * SETUP!$H$3, 2)</f>
        <v>0.28999999999999998</v>
      </c>
      <c r="S9" s="6">
        <f>ROUND(SETUP!$G$3 * SETUP!$I$3, 2)</f>
        <v>0.57999999999999996</v>
      </c>
      <c r="T9" s="6">
        <f>SETUP!$G$3 + SUM(Tabela1[[#This Row],[EMOL VD]]:Tabela1[[#This Row],[OUTRAS VD]])</f>
        <v>32.29</v>
      </c>
      <c r="U9" s="61">
        <f>((([APLICAÇÃO] * 2) - [TAXA VD]) - ([APLICAÇÃO] + [TAXA CP])) * 0.85</f>
        <v>5194.7409999999982</v>
      </c>
      <c r="V9" s="6">
        <f>IF([LUCRO] &lt; 0, 0, ROUND([LUCRO]*80%, 2))</f>
        <v>4155.79</v>
      </c>
      <c r="W9" s="6">
        <f>[LUCRO]-[PROTEÇÃO MÊS]</f>
        <v>1038.9499999999998</v>
      </c>
      <c r="X9" s="50">
        <f>SUMPRODUCT(N([TRADE] &lt;= Tabela1[[#This Row],[TRADE]]), [PROTEÇÃO MÊS]) - [APORTE RF]</f>
        <v>11355.66</v>
      </c>
      <c r="Y9" s="6">
        <f>[TOT RF] + [REINVESTIR] + [APLICAÇÃO]</f>
        <v>18562.38</v>
      </c>
      <c r="Z9" s="36">
        <f>IF(AND([PROTEÇÃO MÊS] &gt; 0, ([TOT RF] - [PROTEÇÃO MÊS]) &gt; 0), [PROTEÇÃO MÊS] / ([TOT RF] - [PROTEÇÃO MÊS]), 0)</f>
        <v>0.57720347728500654</v>
      </c>
    </row>
    <row r="10" spans="1:26">
      <c r="A10" s="1">
        <v>9</v>
      </c>
      <c r="B10" s="20">
        <v>41244</v>
      </c>
      <c r="C10" s="3"/>
      <c r="D10" s="3"/>
      <c r="E10" s="3">
        <v>6442.56</v>
      </c>
      <c r="F10" s="6">
        <v>435</v>
      </c>
      <c r="G10" s="6">
        <f>SUMPRODUCT(N([TRADE] &lt;= Tabela1[[#This Row],[TRADE]]), [APORTE]) + SUMPRODUCT(N([TRADE] &lt;= Tabela1[[#This Row],[TRADE]]), [APORTE RF])</f>
        <v>5728.5999999999995</v>
      </c>
      <c r="H10" s="6">
        <f>[MONTANTE] - SUMPRODUCT(N([TRADE] &lt;= Tabela1[[#This Row],[TRADE]]), [SAQUE]) + SUMPRODUCT(N([TRADE] &lt; Tabela1[[#This Row],[TRADE]]), [REINVESTIR])</f>
        <v>7641.7199999999993</v>
      </c>
      <c r="I10" s="6">
        <f>TRUNC([APLICAÇÃO]  * SETUP!$A$3, 2)</f>
        <v>2.82</v>
      </c>
      <c r="J10" s="6">
        <f>TRUNC([APLICAÇÃO]  * SETUP!$B$3, 2)</f>
        <v>2.1</v>
      </c>
      <c r="K10" s="6">
        <f>TRUNC([APLICAÇÃO]  * SETUP!$C$3, 2)</f>
        <v>5.31</v>
      </c>
      <c r="L10" s="6">
        <f>TRUNC(SETUP!$G$3  * SETUP!$H$3, 2)</f>
        <v>0.28999999999999998</v>
      </c>
      <c r="M10" s="6">
        <f>ROUND(SETUP!$G$3 * SETUP!$I$3, 2)</f>
        <v>0.57999999999999996</v>
      </c>
      <c r="N10" s="6">
        <f>SETUP!$G$3 + SUM(Tabela1[[#This Row],[EMOL CP]]:Tabela1[[#This Row],[OUTRAS CP]])</f>
        <v>26</v>
      </c>
      <c r="O10" s="6">
        <f>TRUNC([APLICAÇÃO] * 2  * SETUP!$A$3, 2)</f>
        <v>5.65</v>
      </c>
      <c r="P10" s="6">
        <f>TRUNC([APLICAÇÃO] * 2  * SETUP!$B$3, 2)</f>
        <v>4.2</v>
      </c>
      <c r="Q10" s="6">
        <f>TRUNC([APLICAÇÃO] * 2  * SETUP!$C$3, 2)</f>
        <v>10.62</v>
      </c>
      <c r="R10" s="6">
        <f>TRUNC(SETUP!$G$3  * SETUP!$H$3, 2)</f>
        <v>0.28999999999999998</v>
      </c>
      <c r="S10" s="6">
        <f>ROUND(SETUP!$G$3 * SETUP!$I$3, 2)</f>
        <v>0.57999999999999996</v>
      </c>
      <c r="T10" s="6">
        <f>SETUP!$G$3 + SUM(Tabela1[[#This Row],[EMOL VD]]:Tabela1[[#This Row],[OUTRAS VD]])</f>
        <v>36.239999999999995</v>
      </c>
      <c r="U10" s="61">
        <f>((([APLICAÇÃO] * 2) - [TAXA VD]) - ([APLICAÇÃO] + [TAXA CP])) * 0.85</f>
        <v>6442.5579999999991</v>
      </c>
      <c r="V10" s="6">
        <f>IF([LUCRO] &lt; 0, 0, ROUND([LUCRO]*80%, 2))</f>
        <v>5154.05</v>
      </c>
      <c r="W10" s="6">
        <f>[LUCRO]-[PROTEÇÃO MÊS]</f>
        <v>1288.5100000000002</v>
      </c>
      <c r="X10" s="50">
        <f>SUMPRODUCT(N([TRADE] &lt;= Tabela1[[#This Row],[TRADE]]), [PROTEÇÃO MÊS]) - [APORTE RF]</f>
        <v>16509.71</v>
      </c>
      <c r="Y10" s="6">
        <f>[TOT RF] + [REINVESTIR] + [APLICAÇÃO]</f>
        <v>25439.940000000002</v>
      </c>
      <c r="Z10" s="36">
        <f>IF(AND([PROTEÇÃO MÊS] &gt; 0, ([TOT RF] - [PROTEÇÃO MÊS]) &gt; 0), [PROTEÇÃO MÊS] / ([TOT RF] - [PROTEÇÃO MÊS]), 0)</f>
        <v>0.45387498392871928</v>
      </c>
    </row>
    <row r="11" spans="1:26">
      <c r="A11" s="1">
        <v>10</v>
      </c>
      <c r="B11" s="20">
        <v>41275</v>
      </c>
      <c r="C11" s="3"/>
      <c r="D11" s="3"/>
      <c r="E11" s="3">
        <v>7901.66</v>
      </c>
      <c r="F11" s="6">
        <v>435</v>
      </c>
      <c r="G11" s="6">
        <f>SUMPRODUCT(N([TRADE] &lt;= Tabela1[[#This Row],[TRADE]]), [APORTE]) + SUMPRODUCT(N([TRADE] &lt;= Tabela1[[#This Row],[TRADE]]), [APORTE RF])</f>
        <v>6163.5999999999995</v>
      </c>
      <c r="H11" s="6">
        <f>[MONTANTE] - SUMPRODUCT(N([TRADE] &lt;= Tabela1[[#This Row],[TRADE]]), [SAQUE]) + SUMPRODUCT(N([TRADE] &lt; Tabela1[[#This Row],[TRADE]]), [REINVESTIR])</f>
        <v>9365.23</v>
      </c>
      <c r="I11" s="6">
        <f>TRUNC([APLICAÇÃO]  * SETUP!$A$3, 2)</f>
        <v>3.46</v>
      </c>
      <c r="J11" s="6">
        <f>TRUNC([APLICAÇÃO]  * SETUP!$B$3, 2)</f>
        <v>2.57</v>
      </c>
      <c r="K11" s="6">
        <f>TRUNC([APLICAÇÃO]  * SETUP!$C$3, 2)</f>
        <v>6.5</v>
      </c>
      <c r="L11" s="6">
        <f>TRUNC(SETUP!$G$3  * SETUP!$H$3, 2)</f>
        <v>0.28999999999999998</v>
      </c>
      <c r="M11" s="6">
        <f>ROUND(SETUP!$G$3 * SETUP!$I$3, 2)</f>
        <v>0.57999999999999996</v>
      </c>
      <c r="N11" s="6">
        <f>SETUP!$G$3 + SUM(Tabela1[[#This Row],[EMOL CP]]:Tabela1[[#This Row],[OUTRAS CP]])</f>
        <v>28.299999999999997</v>
      </c>
      <c r="O11" s="6">
        <f>TRUNC([APLICAÇÃO] * 2  * SETUP!$A$3, 2)</f>
        <v>6.93</v>
      </c>
      <c r="P11" s="6">
        <f>TRUNC([APLICAÇÃO] * 2  * SETUP!$B$3, 2)</f>
        <v>5.15</v>
      </c>
      <c r="Q11" s="6">
        <f>TRUNC([APLICAÇÃO] * 2  * SETUP!$C$3, 2)</f>
        <v>13.01</v>
      </c>
      <c r="R11" s="6">
        <f>TRUNC(SETUP!$G$3  * SETUP!$H$3, 2)</f>
        <v>0.28999999999999998</v>
      </c>
      <c r="S11" s="6">
        <f>ROUND(SETUP!$G$3 * SETUP!$I$3, 2)</f>
        <v>0.57999999999999996</v>
      </c>
      <c r="T11" s="6">
        <f>SETUP!$G$3 + SUM(Tabela1[[#This Row],[EMOL VD]]:Tabela1[[#This Row],[OUTRAS VD]])</f>
        <v>40.86</v>
      </c>
      <c r="U11" s="61">
        <f>((([APLICAÇÃO] * 2) - [TAXA VD]) - ([APLICAÇÃO] + [TAXA CP])) * 0.85</f>
        <v>7901.6594999999998</v>
      </c>
      <c r="V11" s="6">
        <f>IF([LUCRO] &lt; 0, 0, ROUND([LUCRO]*80%, 2))</f>
        <v>6321.33</v>
      </c>
      <c r="W11" s="6">
        <f>[LUCRO]-[PROTEÇÃO MÊS]</f>
        <v>1580.33</v>
      </c>
      <c r="X11" s="50">
        <f>SUMPRODUCT(N([TRADE] &lt;= Tabela1[[#This Row],[TRADE]]), [PROTEÇÃO MÊS]) - [APORTE RF]</f>
        <v>22831.040000000001</v>
      </c>
      <c r="Y11" s="6">
        <f>[TOT RF] + [REINVESTIR] + [APLICAÇÃO]</f>
        <v>33776.600000000006</v>
      </c>
      <c r="Z11" s="4">
        <f>IF(AND([PROTEÇÃO MÊS] &gt; 0, ([TOT RF] - [PROTEÇÃO MÊS]) &gt; 0), [PROTEÇÃO MÊS] / ([TOT RF] - [PROTEÇÃO MÊS]), 0)</f>
        <v>0.38288558672441858</v>
      </c>
    </row>
    <row r="12" spans="1:26">
      <c r="A12" s="1">
        <v>11</v>
      </c>
      <c r="B12" s="20">
        <v>41306</v>
      </c>
      <c r="C12" s="3"/>
      <c r="D12" s="3"/>
      <c r="E12" s="3">
        <v>9607.81</v>
      </c>
      <c r="F12" s="6">
        <v>435</v>
      </c>
      <c r="G12" s="6">
        <f>SUMPRODUCT(N([TRADE] &lt;= Tabela1[[#This Row],[TRADE]]), [APORTE]) + SUMPRODUCT(N([TRADE] &lt;= Tabela1[[#This Row],[TRADE]]), [APORTE RF])</f>
        <v>6598.5999999999995</v>
      </c>
      <c r="H12" s="6">
        <f>[MONTANTE] - SUMPRODUCT(N([TRADE] &lt;= Tabela1[[#This Row],[TRADE]]), [SAQUE]) + SUMPRODUCT(N([TRADE] &lt; Tabela1[[#This Row],[TRADE]]), [REINVESTIR])</f>
        <v>11380.56</v>
      </c>
      <c r="I12" s="6">
        <f>TRUNC([APLICAÇÃO]  * SETUP!$A$3, 2)</f>
        <v>4.21</v>
      </c>
      <c r="J12" s="6">
        <f>TRUNC([APLICAÇÃO]  * SETUP!$B$3, 2)</f>
        <v>3.12</v>
      </c>
      <c r="K12" s="6">
        <f>TRUNC([APLICAÇÃO]  * SETUP!$C$3, 2)</f>
        <v>7.9</v>
      </c>
      <c r="L12" s="6">
        <f>TRUNC(SETUP!$G$3  * SETUP!$H$3, 2)</f>
        <v>0.28999999999999998</v>
      </c>
      <c r="M12" s="6">
        <f>ROUND(SETUP!$G$3 * SETUP!$I$3, 2)</f>
        <v>0.57999999999999996</v>
      </c>
      <c r="N12" s="6">
        <f>SETUP!$G$3 + SUM(Tabela1[[#This Row],[EMOL CP]]:Tabela1[[#This Row],[OUTRAS CP]])</f>
        <v>31</v>
      </c>
      <c r="O12" s="6">
        <f>TRUNC([APLICAÇÃO] * 2  * SETUP!$A$3, 2)</f>
        <v>8.42</v>
      </c>
      <c r="P12" s="6">
        <f>TRUNC([APLICAÇÃO] * 2  * SETUP!$B$3, 2)</f>
        <v>6.25</v>
      </c>
      <c r="Q12" s="6">
        <f>TRUNC([APLICAÇÃO] * 2  * SETUP!$C$3, 2)</f>
        <v>15.81</v>
      </c>
      <c r="R12" s="6">
        <f>TRUNC(SETUP!$G$3  * SETUP!$H$3, 2)</f>
        <v>0.28999999999999998</v>
      </c>
      <c r="S12" s="6">
        <f>ROUND(SETUP!$G$3 * SETUP!$I$3, 2)</f>
        <v>0.57999999999999996</v>
      </c>
      <c r="T12" s="6">
        <f>SETUP!$G$3 + SUM(Tabela1[[#This Row],[EMOL VD]]:Tabela1[[#This Row],[OUTRAS VD]])</f>
        <v>46.25</v>
      </c>
      <c r="U12" s="61">
        <f>((([APLICAÇÃO] * 2) - [TAXA VD]) - ([APLICAÇÃO] + [TAXA CP])) * 0.85</f>
        <v>9607.8135000000002</v>
      </c>
      <c r="V12" s="6">
        <f>IF([LUCRO] &lt; 0, 0, ROUND([LUCRO]*80%, 2))</f>
        <v>7686.25</v>
      </c>
      <c r="W12" s="6">
        <f>[LUCRO]-[PROTEÇÃO MÊS]</f>
        <v>1921.5599999999995</v>
      </c>
      <c r="X12" s="50">
        <f>SUMPRODUCT(N([TRADE] &lt;= Tabela1[[#This Row],[TRADE]]), [PROTEÇÃO MÊS]) - [APORTE RF]</f>
        <v>30517.29</v>
      </c>
      <c r="Y12" s="6">
        <f>[TOT RF] + [REINVESTIR] + [APLICAÇÃO]</f>
        <v>43819.409999999996</v>
      </c>
      <c r="Z12" s="4">
        <f>IF(AND([PROTEÇÃO MÊS] &gt; 0, ([TOT RF] - [PROTEÇÃO MÊS]) &gt; 0), [PROTEÇÃO MÊS] / ([TOT RF] - [PROTEÇÃO MÊS]), 0)</f>
        <v>0.33665790082273955</v>
      </c>
    </row>
    <row r="13" spans="1:26">
      <c r="A13" s="1">
        <v>12</v>
      </c>
      <c r="B13" s="20">
        <v>41334</v>
      </c>
      <c r="C13" s="3"/>
      <c r="D13" s="3"/>
      <c r="E13" s="3">
        <v>11827.16</v>
      </c>
      <c r="F13" s="6">
        <v>700</v>
      </c>
      <c r="G13" s="6">
        <f>SUMPRODUCT(N([TRADE] &lt;= Tabela1[[#This Row],[TRADE]]), [APORTE]) + SUMPRODUCT(N([TRADE] &lt;= Tabela1[[#This Row],[TRADE]]), [APORTE RF])</f>
        <v>7298.5999999999995</v>
      </c>
      <c r="H13" s="6">
        <f>[MONTANTE] - SUMPRODUCT(N([TRADE] &lt;= Tabela1[[#This Row],[TRADE]]), [SAQUE]) + SUMPRODUCT(N([TRADE] &lt; Tabela1[[#This Row],[TRADE]]), [REINVESTIR])</f>
        <v>14002.119999999999</v>
      </c>
      <c r="I13" s="6">
        <f>TRUNC([APLICAÇÃO]  * SETUP!$A$3, 2)</f>
        <v>5.18</v>
      </c>
      <c r="J13" s="6">
        <f>TRUNC([APLICAÇÃO]  * SETUP!$B$3, 2)</f>
        <v>3.85</v>
      </c>
      <c r="K13" s="6">
        <f>TRUNC([APLICAÇÃO]  * SETUP!$C$3, 2)</f>
        <v>9.73</v>
      </c>
      <c r="L13" s="6">
        <f>TRUNC(SETUP!$G$3  * SETUP!$H$3, 2)</f>
        <v>0.28999999999999998</v>
      </c>
      <c r="M13" s="6">
        <f>ROUND(SETUP!$G$3 * SETUP!$I$3, 2)</f>
        <v>0.57999999999999996</v>
      </c>
      <c r="N13" s="6">
        <f>SETUP!$G$3 + SUM(Tabela1[[#This Row],[EMOL CP]]:Tabela1[[#This Row],[OUTRAS CP]])</f>
        <v>34.529999999999994</v>
      </c>
      <c r="O13" s="6">
        <f>TRUNC([APLICAÇÃO] * 2  * SETUP!$A$3, 2)</f>
        <v>10.36</v>
      </c>
      <c r="P13" s="6">
        <f>TRUNC([APLICAÇÃO] * 2  * SETUP!$B$3, 2)</f>
        <v>7.7</v>
      </c>
      <c r="Q13" s="6">
        <f>TRUNC([APLICAÇÃO] * 2  * SETUP!$C$3, 2)</f>
        <v>19.46</v>
      </c>
      <c r="R13" s="6">
        <f>TRUNC(SETUP!$G$3  * SETUP!$H$3, 2)</f>
        <v>0.28999999999999998</v>
      </c>
      <c r="S13" s="6">
        <f>ROUND(SETUP!$G$3 * SETUP!$I$3, 2)</f>
        <v>0.57999999999999996</v>
      </c>
      <c r="T13" s="6">
        <f>SETUP!$G$3 + SUM(Tabela1[[#This Row],[EMOL VD]]:Tabela1[[#This Row],[OUTRAS VD]])</f>
        <v>53.289999999999992</v>
      </c>
      <c r="U13" s="61">
        <f>((([APLICAÇÃO] * 2) - [TAXA VD]) - ([APLICAÇÃO] + [TAXA CP])) * 0.85</f>
        <v>11827.154999999997</v>
      </c>
      <c r="V13" s="6">
        <f>IF([LUCRO] &lt; 0, 0, ROUND([LUCRO]*80%, 2))</f>
        <v>9461.73</v>
      </c>
      <c r="W13" s="6">
        <f>[LUCRO]-[PROTEÇÃO MÊS]</f>
        <v>2365.4300000000003</v>
      </c>
      <c r="X13" s="50">
        <f>SUMPRODUCT(N([TRADE] &lt;= Tabela1[[#This Row],[TRADE]]), [PROTEÇÃO MÊS]) - [APORTE RF]</f>
        <v>39979.020000000004</v>
      </c>
      <c r="Y13" s="6">
        <f>[TOT RF] + [REINVESTIR] + [APLICAÇÃO]</f>
        <v>56346.570000000007</v>
      </c>
      <c r="Z13" s="4">
        <f>IF(AND([PROTEÇÃO MÊS] &gt; 0, ([TOT RF] - [PROTEÇÃO MÊS]) &gt; 0), [PROTEÇÃO MÊS] / ([TOT RF] - [PROTEÇÃO MÊS]), 0)</f>
        <v>0.31004489586067435</v>
      </c>
    </row>
    <row r="14" spans="1:26">
      <c r="A14" s="1">
        <v>13</v>
      </c>
      <c r="B14" s="20">
        <v>41365</v>
      </c>
      <c r="C14" s="3"/>
      <c r="D14" s="3"/>
      <c r="E14" s="3">
        <v>14422.32</v>
      </c>
      <c r="F14" s="6">
        <v>700</v>
      </c>
      <c r="G14" s="6">
        <f>SUMPRODUCT(N([TRADE] &lt;= Tabela1[[#This Row],[TRADE]]), [APORTE]) + SUMPRODUCT(N([TRADE] &lt;= Tabela1[[#This Row],[TRADE]]), [APORTE RF])</f>
        <v>7998.5999999999995</v>
      </c>
      <c r="H14" s="6">
        <f>[MONTANTE] - SUMPRODUCT(N([TRADE] &lt;= Tabela1[[#This Row],[TRADE]]), [SAQUE]) + SUMPRODUCT(N([TRADE] &lt; Tabela1[[#This Row],[TRADE]]), [REINVESTIR])</f>
        <v>17067.55</v>
      </c>
      <c r="I14" s="6">
        <f>TRUNC([APLICAÇÃO]  * SETUP!$A$3, 2)</f>
        <v>6.31</v>
      </c>
      <c r="J14" s="6">
        <f>TRUNC([APLICAÇÃO]  * SETUP!$B$3, 2)</f>
        <v>4.6900000000000004</v>
      </c>
      <c r="K14" s="6">
        <f>TRUNC([APLICAÇÃO]  * SETUP!$C$3, 2)</f>
        <v>11.86</v>
      </c>
      <c r="L14" s="6">
        <f>TRUNC(SETUP!$G$3  * SETUP!$H$3, 2)</f>
        <v>0.28999999999999998</v>
      </c>
      <c r="M14" s="6">
        <f>ROUND(SETUP!$G$3 * SETUP!$I$3, 2)</f>
        <v>0.57999999999999996</v>
      </c>
      <c r="N14" s="6">
        <f>SETUP!$G$3 + SUM(Tabela1[[#This Row],[EMOL CP]]:Tabela1[[#This Row],[OUTRAS CP]])</f>
        <v>38.629999999999995</v>
      </c>
      <c r="O14" s="6">
        <f>TRUNC([APLICAÇÃO] * 2  * SETUP!$A$3, 2)</f>
        <v>12.62</v>
      </c>
      <c r="P14" s="6">
        <f>TRUNC([APLICAÇÃO] * 2  * SETUP!$B$3, 2)</f>
        <v>9.3800000000000008</v>
      </c>
      <c r="Q14" s="6">
        <f>TRUNC([APLICAÇÃO] * 2  * SETUP!$C$3, 2)</f>
        <v>23.72</v>
      </c>
      <c r="R14" s="6">
        <f>TRUNC(SETUP!$G$3  * SETUP!$H$3, 2)</f>
        <v>0.28999999999999998</v>
      </c>
      <c r="S14" s="6">
        <f>ROUND(SETUP!$G$3 * SETUP!$I$3, 2)</f>
        <v>0.57999999999999996</v>
      </c>
      <c r="T14" s="6">
        <f>SETUP!$G$3 + SUM(Tabela1[[#This Row],[EMOL VD]]:Tabela1[[#This Row],[OUTRAS VD]])</f>
        <v>61.489999999999995</v>
      </c>
      <c r="U14" s="61">
        <f>((([APLICAÇÃO] * 2) - [TAXA VD]) - ([APLICAÇÃO] + [TAXA CP])) * 0.85</f>
        <v>14422.315500000001</v>
      </c>
      <c r="V14" s="6">
        <f>IF([LUCRO] &lt; 0, 0, ROUND([LUCRO]*80%, 2))</f>
        <v>11537.86</v>
      </c>
      <c r="W14" s="6">
        <f>[LUCRO]-[PROTEÇÃO MÊS]</f>
        <v>2884.4599999999991</v>
      </c>
      <c r="X14" s="50">
        <f>SUMPRODUCT(N([TRADE] &lt;= Tabela1[[#This Row],[TRADE]]), [PROTEÇÃO MÊS]) - [APORTE RF]</f>
        <v>51516.880000000005</v>
      </c>
      <c r="Y14" s="6">
        <f>[TOT RF] + [REINVESTIR] + [APLICAÇÃO]</f>
        <v>71468.89</v>
      </c>
      <c r="Z14" s="4">
        <f>IF(AND([PROTEÇÃO MÊS] &gt; 0, ([TOT RF] - [PROTEÇÃO MÊS]) &gt; 0), [PROTEÇÃO MÊS] / ([TOT RF] - [PROTEÇÃO MÊS]), 0)</f>
        <v>0.28859786958259603</v>
      </c>
    </row>
    <row r="15" spans="1:26">
      <c r="A15" s="1">
        <v>14</v>
      </c>
      <c r="B15" s="20">
        <v>41395</v>
      </c>
      <c r="C15" s="3"/>
      <c r="D15" s="3"/>
      <c r="E15" s="3">
        <v>17456.86</v>
      </c>
      <c r="F15" s="6">
        <v>700</v>
      </c>
      <c r="G15" s="6">
        <f>SUMPRODUCT(N([TRADE] &lt;= Tabela1[[#This Row],[TRADE]]), [APORTE]) + SUMPRODUCT(N([TRADE] &lt;= Tabela1[[#This Row],[TRADE]]), [APORTE RF])</f>
        <v>8698.5999999999985</v>
      </c>
      <c r="H15" s="6">
        <f>[MONTANTE] - SUMPRODUCT(N([TRADE] &lt;= Tabela1[[#This Row],[TRADE]]), [SAQUE]) + SUMPRODUCT(N([TRADE] &lt; Tabela1[[#This Row],[TRADE]]), [REINVESTIR])</f>
        <v>20652.009999999998</v>
      </c>
      <c r="I15" s="6">
        <f>TRUNC([APLICAÇÃO]  * SETUP!$A$3, 2)</f>
        <v>7.64</v>
      </c>
      <c r="J15" s="6">
        <f>TRUNC([APLICAÇÃO]  * SETUP!$B$3, 2)</f>
        <v>5.67</v>
      </c>
      <c r="K15" s="6">
        <f>TRUNC([APLICAÇÃO]  * SETUP!$C$3, 2)</f>
        <v>14.35</v>
      </c>
      <c r="L15" s="6">
        <f>TRUNC(SETUP!$G$3  * SETUP!$H$3, 2)</f>
        <v>0.28999999999999998</v>
      </c>
      <c r="M15" s="6">
        <f>ROUND(SETUP!$G$3 * SETUP!$I$3, 2)</f>
        <v>0.57999999999999996</v>
      </c>
      <c r="N15" s="6">
        <f>SETUP!$G$3 + SUM(Tabela1[[#This Row],[EMOL CP]]:Tabela1[[#This Row],[OUTRAS CP]])</f>
        <v>43.429999999999993</v>
      </c>
      <c r="O15" s="6">
        <f>TRUNC([APLICAÇÃO] * 2  * SETUP!$A$3, 2)</f>
        <v>15.28</v>
      </c>
      <c r="P15" s="6">
        <f>TRUNC([APLICAÇÃO] * 2  * SETUP!$B$3, 2)</f>
        <v>11.35</v>
      </c>
      <c r="Q15" s="6">
        <f>TRUNC([APLICAÇÃO] * 2  * SETUP!$C$3, 2)</f>
        <v>28.7</v>
      </c>
      <c r="R15" s="6">
        <f>TRUNC(SETUP!$G$3  * SETUP!$H$3, 2)</f>
        <v>0.28999999999999998</v>
      </c>
      <c r="S15" s="6">
        <f>ROUND(SETUP!$G$3 * SETUP!$I$3, 2)</f>
        <v>0.57999999999999996</v>
      </c>
      <c r="T15" s="6">
        <f>SETUP!$G$3 + SUM(Tabela1[[#This Row],[EMOL VD]]:Tabela1[[#This Row],[OUTRAS VD]])</f>
        <v>71.099999999999994</v>
      </c>
      <c r="U15" s="61">
        <f>((([APLICAÇÃO] * 2) - [TAXA VD]) - ([APLICAÇÃO] + [TAXA CP])) * 0.85</f>
        <v>17456.858</v>
      </c>
      <c r="V15" s="6">
        <f>IF([LUCRO] &lt; 0, 0, ROUND([LUCRO]*80%, 2))</f>
        <v>13965.49</v>
      </c>
      <c r="W15" s="6">
        <f>[LUCRO]-[PROTEÇÃO MÊS]</f>
        <v>3491.3700000000008</v>
      </c>
      <c r="X15" s="50">
        <f>SUMPRODUCT(N([TRADE] &lt;= Tabela1[[#This Row],[TRADE]]), [PROTEÇÃO MÊS]) - [APORTE RF]</f>
        <v>65482.37</v>
      </c>
      <c r="Y15" s="6">
        <f>[TOT RF] + [REINVESTIR] + [APLICAÇÃO]</f>
        <v>89625.75</v>
      </c>
      <c r="Z15" s="4">
        <f>IF(AND([PROTEÇÃO MÊS] &gt; 0, ([TOT RF] - [PROTEÇÃO MÊS]) &gt; 0), [PROTEÇÃO MÊS] / ([TOT RF] - [PROTEÇÃO MÊS]), 0)</f>
        <v>0.27108571015946614</v>
      </c>
    </row>
    <row r="16" spans="1:26">
      <c r="A16" s="1">
        <v>15</v>
      </c>
      <c r="B16" s="20">
        <v>41426</v>
      </c>
      <c r="C16" s="21"/>
      <c r="D16" s="21"/>
      <c r="E16" s="21">
        <v>21005.19</v>
      </c>
      <c r="F16" s="6">
        <v>700</v>
      </c>
      <c r="G16" s="22">
        <f>SUMPRODUCT(N([TRADE] &lt;= Tabela1[[#This Row],[TRADE]]), [APORTE]) + SUMPRODUCT(N([TRADE] &lt;= Tabela1[[#This Row],[TRADE]]), [APORTE RF])</f>
        <v>9398.5999999999985</v>
      </c>
      <c r="H16" s="22">
        <f>[MONTANTE] - SUMPRODUCT(N([TRADE] &lt;= Tabela1[[#This Row],[TRADE]]), [SAQUE]) + SUMPRODUCT(N([TRADE] &lt; Tabela1[[#This Row],[TRADE]]), [REINVESTIR])</f>
        <v>24843.379999999997</v>
      </c>
      <c r="I16" s="22">
        <f>TRUNC([APLICAÇÃO]  * SETUP!$A$3, 2)</f>
        <v>9.19</v>
      </c>
      <c r="J16" s="22">
        <f>TRUNC([APLICAÇÃO]  * SETUP!$B$3, 2)</f>
        <v>6.83</v>
      </c>
      <c r="K16" s="22">
        <f>TRUNC([APLICAÇÃO]  * SETUP!$C$3, 2)</f>
        <v>17.260000000000002</v>
      </c>
      <c r="L16" s="22">
        <f>TRUNC(SETUP!$G$3  * SETUP!$H$3, 2)</f>
        <v>0.28999999999999998</v>
      </c>
      <c r="M16" s="22">
        <f>ROUND(SETUP!$G$3 * SETUP!$I$3, 2)</f>
        <v>0.57999999999999996</v>
      </c>
      <c r="N16" s="22">
        <f>SETUP!$G$3 + SUM(Tabela1[[#This Row],[EMOL CP]]:Tabela1[[#This Row],[OUTRAS CP]])</f>
        <v>49.05</v>
      </c>
      <c r="O16" s="22">
        <f>TRUNC([APLICAÇÃO] * 2  * SETUP!$A$3, 2)</f>
        <v>18.38</v>
      </c>
      <c r="P16" s="22">
        <f>TRUNC([APLICAÇÃO] * 2  * SETUP!$B$3, 2)</f>
        <v>13.66</v>
      </c>
      <c r="Q16" s="22">
        <f>TRUNC([APLICAÇÃO] * 2  * SETUP!$C$3, 2)</f>
        <v>34.53</v>
      </c>
      <c r="R16" s="22">
        <f>TRUNC(SETUP!$G$3  * SETUP!$H$3, 2)</f>
        <v>0.28999999999999998</v>
      </c>
      <c r="S16" s="22">
        <f>ROUND(SETUP!$G$3 * SETUP!$I$3, 2)</f>
        <v>0.57999999999999996</v>
      </c>
      <c r="T16" s="22">
        <f>SETUP!$G$3 + SUM(Tabela1[[#This Row],[EMOL VD]]:Tabela1[[#This Row],[OUTRAS VD]])</f>
        <v>82.34</v>
      </c>
      <c r="U16" s="62">
        <f>((([APLICAÇÃO] * 2) - [TAXA VD]) - ([APLICAÇÃO] + [TAXA CP])) * 0.85</f>
        <v>21005.191500000001</v>
      </c>
      <c r="V16" s="22">
        <f>IF([LUCRO] &lt; 0, 0, ROUND([LUCRO]*80%, 2))</f>
        <v>16804.150000000001</v>
      </c>
      <c r="W16" s="22">
        <f>[LUCRO]-[PROTEÇÃO MÊS]</f>
        <v>4201.0399999999972</v>
      </c>
      <c r="X16" s="51">
        <f>SUMPRODUCT(N([TRADE] &lt;= Tabela1[[#This Row],[TRADE]]), [PROTEÇÃO MÊS]) - [APORTE RF]</f>
        <v>82286.52</v>
      </c>
      <c r="Y16" s="22">
        <f>[TOT RF] + [REINVESTIR] + [APLICAÇÃO]</f>
        <v>111330.94</v>
      </c>
      <c r="Z16" s="24">
        <f>IF(AND([PROTEÇÃO MÊS] &gt; 0, ([TOT RF] - [PROTEÇÃO MÊS]) &gt; 0), [PROTEÇÃO MÊS] / ([TOT RF] - [PROTEÇÃO MÊS]), 0)</f>
        <v>0.25662098057843663</v>
      </c>
    </row>
    <row r="17" spans="1:26">
      <c r="A17" s="1">
        <v>16</v>
      </c>
      <c r="B17" s="20">
        <v>41456</v>
      </c>
      <c r="C17" s="3"/>
      <c r="D17" s="3"/>
      <c r="E17" s="3">
        <v>25154.34</v>
      </c>
      <c r="F17" s="6">
        <v>700</v>
      </c>
      <c r="G17" s="6">
        <f>SUMPRODUCT(N([TRADE] &lt;= Tabela1[[#This Row],[TRADE]]), [APORTE]) + SUMPRODUCT(N([TRADE] &lt;= Tabela1[[#This Row],[TRADE]]), [APORTE RF])</f>
        <v>10098.599999999999</v>
      </c>
      <c r="H17" s="6">
        <f>[MONTANTE] - SUMPRODUCT(N([TRADE] &lt;= Tabela1[[#This Row],[TRADE]]), [SAQUE]) + SUMPRODUCT(N([TRADE] &lt; Tabela1[[#This Row],[TRADE]]), [REINVESTIR])</f>
        <v>29744.42</v>
      </c>
      <c r="I17" s="6">
        <f>TRUNC([APLICAÇÃO]  * SETUP!$A$3, 2)</f>
        <v>11</v>
      </c>
      <c r="J17" s="6">
        <f>TRUNC([APLICAÇÃO]  * SETUP!$B$3, 2)</f>
        <v>8.17</v>
      </c>
      <c r="K17" s="6">
        <f>TRUNC([APLICAÇÃO]  * SETUP!$C$3, 2)</f>
        <v>20.67</v>
      </c>
      <c r="L17" s="6">
        <f>TRUNC(SETUP!$G$3  * SETUP!$H$3, 2)</f>
        <v>0.28999999999999998</v>
      </c>
      <c r="M17" s="6">
        <f>ROUND(SETUP!$G$3 * SETUP!$I$3, 2)</f>
        <v>0.57999999999999996</v>
      </c>
      <c r="N17" s="6">
        <f>SETUP!$G$3 + SUM(Tabela1[[#This Row],[EMOL CP]]:Tabela1[[#This Row],[OUTRAS CP]])</f>
        <v>55.61</v>
      </c>
      <c r="O17" s="6">
        <f>TRUNC([APLICAÇÃO] * 2  * SETUP!$A$3, 2)</f>
        <v>22.01</v>
      </c>
      <c r="P17" s="6">
        <f>TRUNC([APLICAÇÃO] * 2  * SETUP!$B$3, 2)</f>
        <v>16.350000000000001</v>
      </c>
      <c r="Q17" s="6">
        <f>TRUNC([APLICAÇÃO] * 2  * SETUP!$C$3, 2)</f>
        <v>41.34</v>
      </c>
      <c r="R17" s="6">
        <f>TRUNC(SETUP!$G$3  * SETUP!$H$3, 2)</f>
        <v>0.28999999999999998</v>
      </c>
      <c r="S17" s="6">
        <f>ROUND(SETUP!$G$3 * SETUP!$I$3, 2)</f>
        <v>0.57999999999999996</v>
      </c>
      <c r="T17" s="6">
        <f>SETUP!$G$3 + SUM(Tabela1[[#This Row],[EMOL VD]]:Tabela1[[#This Row],[OUTRAS VD]])</f>
        <v>95.470000000000013</v>
      </c>
      <c r="U17" s="61">
        <f>((([APLICAÇÃO] * 2) - [TAXA VD]) - ([APLICAÇÃO] + [TAXA CP])) * 0.85</f>
        <v>25154.338999999996</v>
      </c>
      <c r="V17" s="6">
        <f>IF([LUCRO] &lt; 0, 0, ROUND([LUCRO]*80%, 2))</f>
        <v>20123.47</v>
      </c>
      <c r="W17" s="6">
        <f>[LUCRO]-[PROTEÇÃO MÊS]</f>
        <v>5030.869999999999</v>
      </c>
      <c r="X17" s="50">
        <f>SUMPRODUCT(N([TRADE] &lt;= Tabela1[[#This Row],[TRADE]]), [PROTEÇÃO MÊS]) - [APORTE RF]</f>
        <v>102409.99</v>
      </c>
      <c r="Y17" s="6">
        <f>[TOT RF] + [REINVESTIR] + [APLICAÇÃO]</f>
        <v>137185.28</v>
      </c>
      <c r="Z17" s="4">
        <f>IF(AND([PROTEÇÃO MÊS] &gt; 0, ([TOT RF] - [PROTEÇÃO MÊS]) &gt; 0), [PROTEÇÃO MÊS] / ([TOT RF] - [PROTEÇÃO MÊS]), 0)</f>
        <v>0.24455366443981347</v>
      </c>
    </row>
    <row r="18" spans="1:26">
      <c r="A18" s="1">
        <v>17</v>
      </c>
      <c r="B18" s="20">
        <v>41487</v>
      </c>
      <c r="C18" s="3"/>
      <c r="D18" s="3"/>
      <c r="E18" s="3">
        <v>30005.99</v>
      </c>
      <c r="F18" s="6">
        <v>700</v>
      </c>
      <c r="G18" s="6">
        <f>SUMPRODUCT(N([TRADE] &lt;= Tabela1[[#This Row],[TRADE]]), [APORTE]) + SUMPRODUCT(N([TRADE] &lt;= Tabela1[[#This Row],[TRADE]]), [APORTE RF])</f>
        <v>10798.599999999999</v>
      </c>
      <c r="H18" s="6">
        <f>[MONTANTE] - SUMPRODUCT(N([TRADE] &lt;= Tabela1[[#This Row],[TRADE]]), [SAQUE]) + SUMPRODUCT(N([TRADE] &lt; Tabela1[[#This Row],[TRADE]]), [REINVESTIR])</f>
        <v>35475.289999999994</v>
      </c>
      <c r="I18" s="6">
        <f>TRUNC([APLICAÇÃO]  * SETUP!$A$3, 2)</f>
        <v>13.12</v>
      </c>
      <c r="J18" s="6">
        <f>TRUNC([APLICAÇÃO]  * SETUP!$B$3, 2)</f>
        <v>9.75</v>
      </c>
      <c r="K18" s="6">
        <f>TRUNC([APLICAÇÃO]  * SETUP!$C$3, 2)</f>
        <v>24.65</v>
      </c>
      <c r="L18" s="6">
        <f>TRUNC(SETUP!$G$3  * SETUP!$H$3, 2)</f>
        <v>0.28999999999999998</v>
      </c>
      <c r="M18" s="6">
        <f>ROUND(SETUP!$G$3 * SETUP!$I$3, 2)</f>
        <v>0.57999999999999996</v>
      </c>
      <c r="N18" s="6">
        <f>SETUP!$G$3 + SUM(Tabela1[[#This Row],[EMOL CP]]:Tabela1[[#This Row],[OUTRAS CP]])</f>
        <v>63.289999999999992</v>
      </c>
      <c r="O18" s="6">
        <f>TRUNC([APLICAÇÃO] * 2  * SETUP!$A$3, 2)</f>
        <v>26.25</v>
      </c>
      <c r="P18" s="6">
        <f>TRUNC([APLICAÇÃO] * 2  * SETUP!$B$3, 2)</f>
        <v>19.510000000000002</v>
      </c>
      <c r="Q18" s="6">
        <f>TRUNC([APLICAÇÃO] * 2  * SETUP!$C$3, 2)</f>
        <v>49.31</v>
      </c>
      <c r="R18" s="6">
        <f>TRUNC(SETUP!$G$3  * SETUP!$H$3, 2)</f>
        <v>0.28999999999999998</v>
      </c>
      <c r="S18" s="6">
        <f>ROUND(SETUP!$G$3 * SETUP!$I$3, 2)</f>
        <v>0.57999999999999996</v>
      </c>
      <c r="T18" s="6">
        <f>SETUP!$G$3 + SUM(Tabela1[[#This Row],[EMOL VD]]:Tabela1[[#This Row],[OUTRAS VD]])</f>
        <v>110.84000000000002</v>
      </c>
      <c r="U18" s="61">
        <f>((([APLICAÇÃO] * 2) - [TAXA VD]) - ([APLICAÇÃO] + [TAXA CP])) * 0.85</f>
        <v>30005.985999999997</v>
      </c>
      <c r="V18" s="6">
        <f>IF([LUCRO] &lt; 0, 0, ROUND([LUCRO]*80%, 2))</f>
        <v>24004.79</v>
      </c>
      <c r="W18" s="6">
        <f>[LUCRO]-[PROTEÇÃO MÊS]</f>
        <v>6001.2000000000007</v>
      </c>
      <c r="X18" s="50">
        <f>SUMPRODUCT(N([TRADE] &lt;= Tabela1[[#This Row],[TRADE]]), [PROTEÇÃO MÊS]) - [APORTE RF]</f>
        <v>126414.78</v>
      </c>
      <c r="Y18" s="6">
        <f>[TOT RF] + [REINVESTIR] + [APLICAÇÃO]</f>
        <v>167891.27000000002</v>
      </c>
      <c r="Z18" s="4">
        <f>IF(AND([PROTEÇÃO MÊS] &gt; 0, ([TOT RF] - [PROTEÇÃO MÊS]) &gt; 0), [PROTEÇÃO MÊS] / ([TOT RF] - [PROTEÇÃO MÊS]), 0)</f>
        <v>0.23439890971574162</v>
      </c>
    </row>
    <row r="19" spans="1:26">
      <c r="A19" s="1">
        <v>18</v>
      </c>
      <c r="B19" s="20">
        <v>41518</v>
      </c>
      <c r="C19" s="3"/>
      <c r="D19" s="3"/>
      <c r="E19" s="3">
        <v>35679.120000000003</v>
      </c>
      <c r="F19" s="6">
        <v>700</v>
      </c>
      <c r="G19" s="6">
        <f>SUMPRODUCT(N([TRADE] &lt;= Tabela1[[#This Row],[TRADE]]), [APORTE]) + SUMPRODUCT(N([TRADE] &lt;= Tabela1[[#This Row],[TRADE]]), [APORTE RF])</f>
        <v>11498.599999999999</v>
      </c>
      <c r="H19" s="6">
        <f>[MONTANTE] - SUMPRODUCT(N([TRADE] &lt;= Tabela1[[#This Row],[TRADE]]), [SAQUE]) + SUMPRODUCT(N([TRADE] &lt; Tabela1[[#This Row],[TRADE]]), [REINVESTIR])</f>
        <v>42176.49</v>
      </c>
      <c r="I19" s="6">
        <f>TRUNC([APLICAÇÃO]  * SETUP!$A$3, 2)</f>
        <v>15.6</v>
      </c>
      <c r="J19" s="6">
        <f>TRUNC([APLICAÇÃO]  * SETUP!$B$3, 2)</f>
        <v>11.59</v>
      </c>
      <c r="K19" s="6">
        <f>TRUNC([APLICAÇÃO]  * SETUP!$C$3, 2)</f>
        <v>29.31</v>
      </c>
      <c r="L19" s="6">
        <f>TRUNC(SETUP!$G$3  * SETUP!$H$3, 2)</f>
        <v>0.28999999999999998</v>
      </c>
      <c r="M19" s="6">
        <f>ROUND(SETUP!$G$3 * SETUP!$I$3, 2)</f>
        <v>0.57999999999999996</v>
      </c>
      <c r="N19" s="6">
        <f>SETUP!$G$3 + SUM(Tabela1[[#This Row],[EMOL CP]]:Tabela1[[#This Row],[OUTRAS CP]])</f>
        <v>72.27</v>
      </c>
      <c r="O19" s="6">
        <f>TRUNC([APLICAÇÃO] * 2  * SETUP!$A$3, 2)</f>
        <v>31.21</v>
      </c>
      <c r="P19" s="6">
        <f>TRUNC([APLICAÇÃO] * 2  * SETUP!$B$3, 2)</f>
        <v>23.19</v>
      </c>
      <c r="Q19" s="6">
        <f>TRUNC([APLICAÇÃO] * 2  * SETUP!$C$3, 2)</f>
        <v>58.62</v>
      </c>
      <c r="R19" s="6">
        <f>TRUNC(SETUP!$G$3  * SETUP!$H$3, 2)</f>
        <v>0.28999999999999998</v>
      </c>
      <c r="S19" s="6">
        <f>ROUND(SETUP!$G$3 * SETUP!$I$3, 2)</f>
        <v>0.57999999999999996</v>
      </c>
      <c r="T19" s="6">
        <f>SETUP!$G$3 + SUM(Tabela1[[#This Row],[EMOL VD]]:Tabela1[[#This Row],[OUTRAS VD]])</f>
        <v>128.79000000000002</v>
      </c>
      <c r="U19" s="61">
        <f>((([APLICAÇÃO] * 2) - [TAXA VD]) - ([APLICAÇÃO] + [TAXA CP])) * 0.85</f>
        <v>35679.115500000007</v>
      </c>
      <c r="V19" s="6">
        <f>IF([LUCRO] &lt; 0, 0, ROUND([LUCRO]*80%, 2))</f>
        <v>28543.3</v>
      </c>
      <c r="W19" s="6">
        <f>[LUCRO]-[PROTEÇÃO MÊS]</f>
        <v>7135.8200000000033</v>
      </c>
      <c r="X19" s="50">
        <f>SUMPRODUCT(N([TRADE] &lt;= Tabela1[[#This Row],[TRADE]]), [PROTEÇÃO MÊS]) - [APORTE RF]</f>
        <v>154958.07999999999</v>
      </c>
      <c r="Y19" s="6">
        <f>[TOT RF] + [REINVESTIR] + [APLICAÇÃO]</f>
        <v>204270.38999999998</v>
      </c>
      <c r="Z19" s="4">
        <f>IF(AND([PROTEÇÃO MÊS] &gt; 0, ([TOT RF] - [PROTEÇÃO MÊS]) &gt; 0), [PROTEÇÃO MÊS] / ([TOT RF] - [PROTEÇÃO MÊS]), 0)</f>
        <v>0.22579084502619079</v>
      </c>
    </row>
    <row r="20" spans="1:26">
      <c r="A20" s="1">
        <v>19</v>
      </c>
      <c r="B20" s="20">
        <v>41548</v>
      </c>
      <c r="C20" s="3"/>
      <c r="D20" s="3"/>
      <c r="E20" s="3">
        <v>42312.800000000003</v>
      </c>
      <c r="F20" s="6">
        <v>700</v>
      </c>
      <c r="G20" s="6">
        <f>SUMPRODUCT(N([TRADE] &lt;= Tabela1[[#This Row],[TRADE]]), [APORTE]) + SUMPRODUCT(N([TRADE] &lt;= Tabela1[[#This Row],[TRADE]]), [APORTE RF])</f>
        <v>12198.599999999999</v>
      </c>
      <c r="H20" s="6">
        <f>[MONTANTE] - SUMPRODUCT(N([TRADE] &lt;= Tabela1[[#This Row],[TRADE]]), [SAQUE]) + SUMPRODUCT(N([TRADE] &lt; Tabela1[[#This Row],[TRADE]]), [REINVESTIR])</f>
        <v>50012.310000000005</v>
      </c>
      <c r="I20" s="6">
        <f>TRUNC([APLICAÇÃO]  * SETUP!$A$3, 2)</f>
        <v>18.5</v>
      </c>
      <c r="J20" s="6">
        <f>TRUNC([APLICAÇÃO]  * SETUP!$B$3, 2)</f>
        <v>13.75</v>
      </c>
      <c r="K20" s="6">
        <f>TRUNC([APLICAÇÃO]  * SETUP!$C$3, 2)</f>
        <v>34.75</v>
      </c>
      <c r="L20" s="6">
        <f>TRUNC(SETUP!$G$3  * SETUP!$H$3, 2)</f>
        <v>0.28999999999999998</v>
      </c>
      <c r="M20" s="6">
        <f>ROUND(SETUP!$G$3 * SETUP!$I$3, 2)</f>
        <v>0.57999999999999996</v>
      </c>
      <c r="N20" s="6">
        <f>SETUP!$G$3 + SUM(Tabela1[[#This Row],[EMOL CP]]:Tabela1[[#This Row],[OUTRAS CP]])</f>
        <v>82.77000000000001</v>
      </c>
      <c r="O20" s="6">
        <f>TRUNC([APLICAÇÃO] * 2  * SETUP!$A$3, 2)</f>
        <v>37</v>
      </c>
      <c r="P20" s="6">
        <f>TRUNC([APLICAÇÃO] * 2  * SETUP!$B$3, 2)</f>
        <v>27.5</v>
      </c>
      <c r="Q20" s="6">
        <f>TRUNC([APLICAÇÃO] * 2  * SETUP!$C$3, 2)</f>
        <v>69.510000000000005</v>
      </c>
      <c r="R20" s="6">
        <f>TRUNC(SETUP!$G$3  * SETUP!$H$3, 2)</f>
        <v>0.28999999999999998</v>
      </c>
      <c r="S20" s="6">
        <f>ROUND(SETUP!$G$3 * SETUP!$I$3, 2)</f>
        <v>0.57999999999999996</v>
      </c>
      <c r="T20" s="6">
        <f>SETUP!$G$3 + SUM(Tabela1[[#This Row],[EMOL VD]]:Tabela1[[#This Row],[OUTRAS VD]])</f>
        <v>149.78</v>
      </c>
      <c r="U20" s="61">
        <f>((([APLICAÇÃO] * 2) - [TAXA VD]) - ([APLICAÇÃO] + [TAXA CP])) * 0.85</f>
        <v>42312.796000000009</v>
      </c>
      <c r="V20" s="6">
        <f>IF([LUCRO] &lt; 0, 0, ROUND([LUCRO]*80%, 2))</f>
        <v>33850.239999999998</v>
      </c>
      <c r="W20" s="6">
        <f>[LUCRO]-[PROTEÇÃO MÊS]</f>
        <v>8462.5600000000049</v>
      </c>
      <c r="X20" s="50">
        <f>SUMPRODUCT(N([TRADE] &lt;= Tabela1[[#This Row],[TRADE]]), [PROTEÇÃO MÊS]) - [APORTE RF]</f>
        <v>188808.31999999998</v>
      </c>
      <c r="Y20" s="6">
        <f>[TOT RF] + [REINVESTIR] + [APLICAÇÃO]</f>
        <v>247283.18999999997</v>
      </c>
      <c r="Z20" s="4">
        <f>IF(AND([PROTEÇÃO MÊS] &gt; 0, ([TOT RF] - [PROTEÇÃO MÊS]) &gt; 0), [PROTEÇÃO MÊS] / ([TOT RF] - [PROTEÇÃO MÊS]), 0)</f>
        <v>0.2184477247007707</v>
      </c>
    </row>
    <row r="21" spans="1:26">
      <c r="A21" s="1">
        <v>20</v>
      </c>
      <c r="B21" s="20">
        <v>41579</v>
      </c>
      <c r="C21" s="3"/>
      <c r="D21" s="3"/>
      <c r="E21" s="3">
        <v>50069.66</v>
      </c>
      <c r="F21" s="6">
        <v>700</v>
      </c>
      <c r="G21" s="6">
        <f>SUMPRODUCT(N([TRADE] &lt;= Tabela1[[#This Row],[TRADE]]), [APORTE]) + SUMPRODUCT(N([TRADE] &lt;= Tabela1[[#This Row],[TRADE]]), [APORTE RF])</f>
        <v>12898.599999999999</v>
      </c>
      <c r="H21" s="6">
        <f>[MONTANTE] - SUMPRODUCT(N([TRADE] &lt;= Tabela1[[#This Row],[TRADE]]), [SAQUE]) + SUMPRODUCT(N([TRADE] &lt; Tabela1[[#This Row],[TRADE]]), [REINVESTIR])</f>
        <v>59174.87000000001</v>
      </c>
      <c r="I21" s="6">
        <f>TRUNC([APLICAÇÃO]  * SETUP!$A$3, 2)</f>
        <v>21.89</v>
      </c>
      <c r="J21" s="6">
        <f>TRUNC([APLICAÇÃO]  * SETUP!$B$3, 2)</f>
        <v>16.27</v>
      </c>
      <c r="K21" s="6">
        <f>TRUNC([APLICAÇÃO]  * SETUP!$C$3, 2)</f>
        <v>41.12</v>
      </c>
      <c r="L21" s="6">
        <f>TRUNC(SETUP!$G$3  * SETUP!$H$3, 2)</f>
        <v>0.28999999999999998</v>
      </c>
      <c r="M21" s="6">
        <f>ROUND(SETUP!$G$3 * SETUP!$I$3, 2)</f>
        <v>0.57999999999999996</v>
      </c>
      <c r="N21" s="6">
        <f>SETUP!$G$3 + SUM(Tabela1[[#This Row],[EMOL CP]]:Tabela1[[#This Row],[OUTRAS CP]])</f>
        <v>95.050000000000011</v>
      </c>
      <c r="O21" s="6">
        <f>TRUNC([APLICAÇÃO] * 2  * SETUP!$A$3, 2)</f>
        <v>43.78</v>
      </c>
      <c r="P21" s="6">
        <f>TRUNC([APLICAÇÃO] * 2  * SETUP!$B$3, 2)</f>
        <v>32.54</v>
      </c>
      <c r="Q21" s="6">
        <f>TRUNC([APLICAÇÃO] * 2  * SETUP!$C$3, 2)</f>
        <v>82.25</v>
      </c>
      <c r="R21" s="6">
        <f>TRUNC(SETUP!$G$3  * SETUP!$H$3, 2)</f>
        <v>0.28999999999999998</v>
      </c>
      <c r="S21" s="6">
        <f>ROUND(SETUP!$G$3 * SETUP!$I$3, 2)</f>
        <v>0.57999999999999996</v>
      </c>
      <c r="T21" s="6">
        <f>SETUP!$G$3 + SUM(Tabela1[[#This Row],[EMOL VD]]:Tabela1[[#This Row],[OUTRAS VD]])</f>
        <v>174.34</v>
      </c>
      <c r="U21" s="61">
        <f>((([APLICAÇÃO] * 2) - [TAXA VD]) - ([APLICAÇÃO] + [TAXA CP])) * 0.85</f>
        <v>50069.65800000001</v>
      </c>
      <c r="V21" s="6">
        <f>IF([LUCRO] &lt; 0, 0, ROUND([LUCRO]*80%, 2))</f>
        <v>40055.730000000003</v>
      </c>
      <c r="W21" s="6">
        <f>[LUCRO]-[PROTEÇÃO MÊS]</f>
        <v>10013.93</v>
      </c>
      <c r="X21" s="50">
        <f>SUMPRODUCT(N([TRADE] &lt;= Tabela1[[#This Row],[TRADE]]), [PROTEÇÃO MÊS]) - [APORTE RF]</f>
        <v>228864.05</v>
      </c>
      <c r="Y21" s="6">
        <f>[TOT RF] + [REINVESTIR] + [APLICAÇÃO]</f>
        <v>298052.84999999998</v>
      </c>
      <c r="Z21" s="4">
        <f>IF(AND([PROTEÇÃO MÊS] &gt; 0, ([TOT RF] - [PROTEÇÃO MÊS]) &gt; 0), [PROTEÇÃO MÊS] / ([TOT RF] - [PROTEÇÃO MÊS]), 0)</f>
        <v>0.21215023787087353</v>
      </c>
    </row>
    <row r="22" spans="1:26">
      <c r="A22" s="1">
        <v>21</v>
      </c>
      <c r="B22" s="20">
        <v>41609</v>
      </c>
      <c r="C22" s="21"/>
      <c r="D22" s="21"/>
      <c r="E22" s="21">
        <v>59139.9</v>
      </c>
      <c r="F22" s="6">
        <v>700</v>
      </c>
      <c r="G22" s="22">
        <f>SUMPRODUCT(N([TRADE] &lt;= Tabela1[[#This Row],[TRADE]]), [APORTE]) + SUMPRODUCT(N([TRADE] &lt;= Tabela1[[#This Row],[TRADE]]), [APORTE RF])</f>
        <v>13598.599999999999</v>
      </c>
      <c r="H22" s="22">
        <f>[MONTANTE] - SUMPRODUCT(N([TRADE] &lt;= Tabela1[[#This Row],[TRADE]]), [SAQUE]) + SUMPRODUCT(N([TRADE] &lt; Tabela1[[#This Row],[TRADE]]), [REINVESTIR])</f>
        <v>69888.800000000017</v>
      </c>
      <c r="I22" s="22">
        <f>TRUNC([APLICAÇÃO]  * SETUP!$A$3, 2)</f>
        <v>25.85</v>
      </c>
      <c r="J22" s="22">
        <f>TRUNC([APLICAÇÃO]  * SETUP!$B$3, 2)</f>
        <v>19.21</v>
      </c>
      <c r="K22" s="22">
        <f>TRUNC([APLICAÇÃO]  * SETUP!$C$3, 2)</f>
        <v>48.57</v>
      </c>
      <c r="L22" s="22">
        <f>TRUNC(SETUP!$G$3  * SETUP!$H$3, 2)</f>
        <v>0.28999999999999998</v>
      </c>
      <c r="M22" s="22">
        <f>ROUND(SETUP!$G$3 * SETUP!$I$3, 2)</f>
        <v>0.57999999999999996</v>
      </c>
      <c r="N22" s="22">
        <f>SETUP!$G$3 + SUM(Tabela1[[#This Row],[EMOL CP]]:Tabela1[[#This Row],[OUTRAS CP]])</f>
        <v>109.4</v>
      </c>
      <c r="O22" s="22">
        <f>TRUNC([APLICAÇÃO] * 2  * SETUP!$A$3, 2)</f>
        <v>51.71</v>
      </c>
      <c r="P22" s="22">
        <f>TRUNC([APLICAÇÃO] * 2  * SETUP!$B$3, 2)</f>
        <v>38.43</v>
      </c>
      <c r="Q22" s="22">
        <f>TRUNC([APLICAÇÃO] * 2  * SETUP!$C$3, 2)</f>
        <v>97.14</v>
      </c>
      <c r="R22" s="22">
        <f>TRUNC(SETUP!$G$3  * SETUP!$H$3, 2)</f>
        <v>0.28999999999999998</v>
      </c>
      <c r="S22" s="22">
        <f>ROUND(SETUP!$G$3 * SETUP!$I$3, 2)</f>
        <v>0.57999999999999996</v>
      </c>
      <c r="T22" s="22">
        <f>SETUP!$G$3 + SUM(Tabela1[[#This Row],[EMOL VD]]:Tabela1[[#This Row],[OUTRAS VD]])</f>
        <v>203.05</v>
      </c>
      <c r="U22" s="62">
        <f>((([APLICAÇÃO] * 2) - [TAXA VD]) - ([APLICAÇÃO] + [TAXA CP])) * 0.85</f>
        <v>59139.897500000028</v>
      </c>
      <c r="V22" s="22">
        <f>IF([LUCRO] &lt; 0, 0, ROUND([LUCRO]*80%, 2))</f>
        <v>47311.92</v>
      </c>
      <c r="W22" s="22">
        <f>[LUCRO]-[PROTEÇÃO MÊS]</f>
        <v>11827.980000000003</v>
      </c>
      <c r="X22" s="51">
        <f>SUMPRODUCT(N([TRADE] &lt;= Tabela1[[#This Row],[TRADE]]), [PROTEÇÃO MÊS]) - [APORTE RF]</f>
        <v>276175.96999999997</v>
      </c>
      <c r="Y22" s="22">
        <f>[TOT RF] + [REINVESTIR] + [APLICAÇÃO]</f>
        <v>357892.75</v>
      </c>
      <c r="Z22" s="24">
        <f>IF(AND([PROTEÇÃO MÊS] &gt; 0, ([TOT RF] - [PROTEÇÃO MÊS]) &gt; 0), [PROTEÇÃO MÊS] / ([TOT RF] - [PROTEÇÃO MÊS]), 0)</f>
        <v>0.20672499678302469</v>
      </c>
    </row>
    <row r="23" spans="1:26">
      <c r="A23" s="1">
        <v>22</v>
      </c>
      <c r="B23" s="20">
        <v>41640</v>
      </c>
      <c r="C23" s="3"/>
      <c r="D23" s="3"/>
      <c r="E23" s="3">
        <v>69745.87</v>
      </c>
      <c r="F23" s="6">
        <v>700</v>
      </c>
      <c r="G23" s="6">
        <f>SUMPRODUCT(N([TRADE] &lt;= Tabela1[[#This Row],[TRADE]]), [APORTE]) + SUMPRODUCT(N([TRADE] &lt;= Tabela1[[#This Row],[TRADE]]), [APORTE RF])</f>
        <v>14298.599999999999</v>
      </c>
      <c r="H23" s="6">
        <f>[MONTANTE] - SUMPRODUCT(N([TRADE] &lt;= Tabela1[[#This Row],[TRADE]]), [SAQUE]) + SUMPRODUCT(N([TRADE] &lt; Tabela1[[#This Row],[TRADE]]), [REINVESTIR])</f>
        <v>82416.780000000028</v>
      </c>
      <c r="I23" s="6">
        <f>TRUNC([APLICAÇÃO]  * SETUP!$A$3, 2)</f>
        <v>30.49</v>
      </c>
      <c r="J23" s="6">
        <f>TRUNC([APLICAÇÃO]  * SETUP!$B$3, 2)</f>
        <v>22.66</v>
      </c>
      <c r="K23" s="6">
        <f>TRUNC([APLICAÇÃO]  * SETUP!$C$3, 2)</f>
        <v>57.27</v>
      </c>
      <c r="L23" s="6">
        <f>TRUNC(SETUP!$G$3  * SETUP!$H$3, 2)</f>
        <v>0.28999999999999998</v>
      </c>
      <c r="M23" s="6">
        <f>ROUND(SETUP!$G$3 * SETUP!$I$3, 2)</f>
        <v>0.57999999999999996</v>
      </c>
      <c r="N23" s="6">
        <f>SETUP!$G$3 + SUM(Tabela1[[#This Row],[EMOL CP]]:Tabela1[[#This Row],[OUTRAS CP]])</f>
        <v>126.19000000000001</v>
      </c>
      <c r="O23" s="6">
        <f>TRUNC([APLICAÇÃO] * 2  * SETUP!$A$3, 2)</f>
        <v>60.98</v>
      </c>
      <c r="P23" s="6">
        <f>TRUNC([APLICAÇÃO] * 2  * SETUP!$B$3, 2)</f>
        <v>45.32</v>
      </c>
      <c r="Q23" s="6">
        <f>TRUNC([APLICAÇÃO] * 2  * SETUP!$C$3, 2)</f>
        <v>114.55</v>
      </c>
      <c r="R23" s="6">
        <f>TRUNC(SETUP!$G$3  * SETUP!$H$3, 2)</f>
        <v>0.28999999999999998</v>
      </c>
      <c r="S23" s="6">
        <f>ROUND(SETUP!$G$3 * SETUP!$I$3, 2)</f>
        <v>0.57999999999999996</v>
      </c>
      <c r="T23" s="6">
        <f>SETUP!$G$3 + SUM(Tabela1[[#This Row],[EMOL VD]]:Tabela1[[#This Row],[OUTRAS VD]])</f>
        <v>236.62</v>
      </c>
      <c r="U23" s="61">
        <f>((([APLICAÇÃO] * 2) - [TAXA VD]) - ([APLICAÇÃO] + [TAXA CP])) * 0.85</f>
        <v>69745.87450000002</v>
      </c>
      <c r="V23" s="6">
        <f>IF([LUCRO] &lt; 0, 0, ROUND([LUCRO]*80%, 2))</f>
        <v>55796.7</v>
      </c>
      <c r="W23" s="6">
        <f>[LUCRO]-[PROTEÇÃO MÊS]</f>
        <v>13949.169999999998</v>
      </c>
      <c r="X23" s="50">
        <f>SUMPRODUCT(N([TRADE] &lt;= Tabela1[[#This Row],[TRADE]]), [PROTEÇÃO MÊS]) - [APORTE RF]</f>
        <v>331972.67</v>
      </c>
      <c r="Y23" s="6">
        <f>[TOT RF] + [REINVESTIR] + [APLICAÇÃO]</f>
        <v>428338.62</v>
      </c>
      <c r="Z23" s="4">
        <f>IF(AND([PROTEÇÃO MÊS] &gt; 0, ([TOT RF] - [PROTEÇÃO MÊS]) &gt; 0), [PROTEÇÃO MÊS] / ([TOT RF] - [PROTEÇÃO MÊS]), 0)</f>
        <v>0.20203314575123971</v>
      </c>
    </row>
    <row r="24" spans="1:26">
      <c r="A24" s="1">
        <v>23</v>
      </c>
      <c r="B24" s="20">
        <v>41671</v>
      </c>
      <c r="C24" s="3"/>
      <c r="D24" s="3"/>
      <c r="E24" s="3">
        <v>82147.600000000006</v>
      </c>
      <c r="F24" s="6">
        <v>700</v>
      </c>
      <c r="G24" s="6">
        <f>SUMPRODUCT(N([TRADE] &lt;= Tabela1[[#This Row],[TRADE]]), [APORTE]) + SUMPRODUCT(N([TRADE] &lt;= Tabela1[[#This Row],[TRADE]]), [APORTE RF])</f>
        <v>14998.599999999999</v>
      </c>
      <c r="H24" s="6">
        <f>[MONTANTE] - SUMPRODUCT(N([TRADE] &lt;= Tabela1[[#This Row],[TRADE]]), [SAQUE]) + SUMPRODUCT(N([TRADE] &lt; Tabela1[[#This Row],[TRADE]]), [REINVESTIR])</f>
        <v>97065.950000000012</v>
      </c>
      <c r="I24" s="6">
        <f>TRUNC([APLICAÇÃO]  * SETUP!$A$3, 2)</f>
        <v>35.909999999999997</v>
      </c>
      <c r="J24" s="6">
        <f>TRUNC([APLICAÇÃO]  * SETUP!$B$3, 2)</f>
        <v>26.69</v>
      </c>
      <c r="K24" s="6">
        <f>TRUNC([APLICAÇÃO]  * SETUP!$C$3, 2)</f>
        <v>67.459999999999994</v>
      </c>
      <c r="L24" s="6">
        <f>TRUNC(SETUP!$G$3  * SETUP!$H$3, 2)</f>
        <v>0.28999999999999998</v>
      </c>
      <c r="M24" s="6">
        <f>ROUND(SETUP!$G$3 * SETUP!$I$3, 2)</f>
        <v>0.57999999999999996</v>
      </c>
      <c r="N24" s="6">
        <f>SETUP!$G$3 + SUM(Tabela1[[#This Row],[EMOL CP]]:Tabela1[[#This Row],[OUTRAS CP]])</f>
        <v>145.83000000000001</v>
      </c>
      <c r="O24" s="6">
        <f>TRUNC([APLICAÇÃO] * 2  * SETUP!$A$3, 2)</f>
        <v>71.819999999999993</v>
      </c>
      <c r="P24" s="6">
        <f>TRUNC([APLICAÇÃO] * 2  * SETUP!$B$3, 2)</f>
        <v>53.38</v>
      </c>
      <c r="Q24" s="6">
        <f>TRUNC([APLICAÇÃO] * 2  * SETUP!$C$3, 2)</f>
        <v>134.91999999999999</v>
      </c>
      <c r="R24" s="6">
        <f>TRUNC(SETUP!$G$3  * SETUP!$H$3, 2)</f>
        <v>0.28999999999999998</v>
      </c>
      <c r="S24" s="6">
        <f>ROUND(SETUP!$G$3 * SETUP!$I$3, 2)</f>
        <v>0.57999999999999996</v>
      </c>
      <c r="T24" s="6">
        <f>SETUP!$G$3 + SUM(Tabela1[[#This Row],[EMOL VD]]:Tabela1[[#This Row],[OUTRAS VD]])</f>
        <v>275.89</v>
      </c>
      <c r="U24" s="61">
        <f>((([APLICAÇÃO] * 2) - [TAXA VD]) - ([APLICAÇÃO] + [TAXA CP])) * 0.85</f>
        <v>82147.595499999996</v>
      </c>
      <c r="V24" s="6">
        <f>IF([LUCRO] &lt; 0, 0, ROUND([LUCRO]*80%, 2))</f>
        <v>65718.080000000002</v>
      </c>
      <c r="W24" s="6">
        <f>[LUCRO]-[PROTEÇÃO MÊS]</f>
        <v>16429.520000000004</v>
      </c>
      <c r="X24" s="50">
        <f>SUMPRODUCT(N([TRADE] &lt;= Tabela1[[#This Row],[TRADE]]), [PROTEÇÃO MÊS]) - [APORTE RF]</f>
        <v>397690.75</v>
      </c>
      <c r="Y24" s="6">
        <f>[TOT RF] + [REINVESTIR] + [APLICAÇÃO]</f>
        <v>511186.22000000003</v>
      </c>
      <c r="Z24" s="4">
        <f>IF(AND([PROTEÇÃO MÊS] &gt; 0, ([TOT RF] - [PROTEÇÃO MÊS]) &gt; 0), [PROTEÇÃO MÊS] / ([TOT RF] - [PROTEÇÃO MÊS]), 0)</f>
        <v>0.19796232021148008</v>
      </c>
    </row>
    <row r="25" spans="1:26">
      <c r="A25" s="1">
        <v>24</v>
      </c>
      <c r="B25" s="20">
        <v>41699</v>
      </c>
      <c r="C25" s="3"/>
      <c r="D25" s="3"/>
      <c r="E25" s="3">
        <v>96649.16</v>
      </c>
      <c r="F25" s="6">
        <v>700</v>
      </c>
      <c r="G25" s="6">
        <f>SUMPRODUCT(N([TRADE] &lt;= Tabela1[[#This Row],[TRADE]]), [APORTE]) + SUMPRODUCT(N([TRADE] &lt;= Tabela1[[#This Row],[TRADE]]), [APORTE RF])</f>
        <v>15698.599999999999</v>
      </c>
      <c r="H25" s="6">
        <f>[MONTANTE] - SUMPRODUCT(N([TRADE] &lt;= Tabela1[[#This Row],[TRADE]]), [SAQUE]) + SUMPRODUCT(N([TRADE] &lt; Tabela1[[#This Row],[TRADE]]), [REINVESTIR])</f>
        <v>114195.47000000003</v>
      </c>
      <c r="I25" s="6">
        <f>TRUNC([APLICAÇÃO]  * SETUP!$A$3, 2)</f>
        <v>42.25</v>
      </c>
      <c r="J25" s="6">
        <f>TRUNC([APLICAÇÃO]  * SETUP!$B$3, 2)</f>
        <v>31.4</v>
      </c>
      <c r="K25" s="6">
        <f>TRUNC([APLICAÇÃO]  * SETUP!$C$3, 2)</f>
        <v>79.36</v>
      </c>
      <c r="L25" s="6">
        <f>TRUNC(SETUP!$G$3  * SETUP!$H$3, 2)</f>
        <v>0.28999999999999998</v>
      </c>
      <c r="M25" s="6">
        <f>ROUND(SETUP!$G$3 * SETUP!$I$3, 2)</f>
        <v>0.57999999999999996</v>
      </c>
      <c r="N25" s="6">
        <f>SETUP!$G$3 + SUM(Tabela1[[#This Row],[EMOL CP]]:Tabela1[[#This Row],[OUTRAS CP]])</f>
        <v>168.78</v>
      </c>
      <c r="O25" s="6">
        <f>TRUNC([APLICAÇÃO] * 2  * SETUP!$A$3, 2)</f>
        <v>84.5</v>
      </c>
      <c r="P25" s="6">
        <f>TRUNC([APLICAÇÃO] * 2  * SETUP!$B$3, 2)</f>
        <v>62.8</v>
      </c>
      <c r="Q25" s="6">
        <f>TRUNC([APLICAÇÃO] * 2  * SETUP!$C$3, 2)</f>
        <v>158.72999999999999</v>
      </c>
      <c r="R25" s="6">
        <f>TRUNC(SETUP!$G$3  * SETUP!$H$3, 2)</f>
        <v>0.28999999999999998</v>
      </c>
      <c r="S25" s="6">
        <f>ROUND(SETUP!$G$3 * SETUP!$I$3, 2)</f>
        <v>0.57999999999999996</v>
      </c>
      <c r="T25" s="6">
        <f>SETUP!$G$3 + SUM(Tabela1[[#This Row],[EMOL VD]]:Tabela1[[#This Row],[OUTRAS VD]])</f>
        <v>321.79999999999995</v>
      </c>
      <c r="U25" s="61">
        <f>((([APLICAÇÃO] * 2) - [TAXA VD]) - ([APLICAÇÃO] + [TAXA CP])) * 0.85</f>
        <v>96649.156500000041</v>
      </c>
      <c r="V25" s="6">
        <f>IF([LUCRO] &lt; 0, 0, ROUND([LUCRO]*80%, 2))</f>
        <v>77319.33</v>
      </c>
      <c r="W25" s="6">
        <f>[LUCRO]-[PROTEÇÃO MÊS]</f>
        <v>19329.830000000002</v>
      </c>
      <c r="X25" s="50">
        <f>SUMPRODUCT(N([TRADE] &lt;= Tabela1[[#This Row],[TRADE]]), [PROTEÇÃO MÊS]) - [APORTE RF]</f>
        <v>475010.08</v>
      </c>
      <c r="Y25" s="6">
        <f>[TOT RF] + [REINVESTIR] + [APLICAÇÃO]</f>
        <v>608535.38000000012</v>
      </c>
      <c r="Z25" s="4">
        <f>IF(AND([PROTEÇÃO MÊS] &gt; 0, ([TOT RF] - [PROTEÇÃO MÊS]) &gt; 0), [PROTEÇÃO MÊS] / ([TOT RF] - [PROTEÇÃO MÊS]), 0)</f>
        <v>0.1944207402359748</v>
      </c>
    </row>
    <row r="26" spans="1:26">
      <c r="A26" s="1">
        <v>25</v>
      </c>
      <c r="B26" s="20">
        <v>41730</v>
      </c>
      <c r="C26" s="3"/>
      <c r="D26" s="3"/>
      <c r="E26" s="3">
        <v>113606.07</v>
      </c>
      <c r="F26" s="6">
        <v>700</v>
      </c>
      <c r="G26" s="6">
        <f>SUMPRODUCT(N([TRADE] &lt;= Tabela1[[#This Row],[TRADE]]), [APORTE]) + SUMPRODUCT(N([TRADE] &lt;= Tabela1[[#This Row],[TRADE]]), [APORTE RF])</f>
        <v>16398.599999999999</v>
      </c>
      <c r="H26" s="6">
        <f>[MONTANTE] - SUMPRODUCT(N([TRADE] &lt;= Tabela1[[#This Row],[TRADE]]), [SAQUE]) + SUMPRODUCT(N([TRADE] &lt; Tabela1[[#This Row],[TRADE]]), [REINVESTIR])</f>
        <v>134225.30000000002</v>
      </c>
      <c r="I26" s="6">
        <f>TRUNC([APLICAÇÃO]  * SETUP!$A$3, 2)</f>
        <v>49.66</v>
      </c>
      <c r="J26" s="6">
        <f>TRUNC([APLICAÇÃO]  * SETUP!$B$3, 2)</f>
        <v>36.909999999999997</v>
      </c>
      <c r="K26" s="6">
        <f>TRUNC([APLICAÇÃO]  * SETUP!$C$3, 2)</f>
        <v>93.28</v>
      </c>
      <c r="L26" s="6">
        <f>TRUNC(SETUP!$G$3  * SETUP!$H$3, 2)</f>
        <v>0.28999999999999998</v>
      </c>
      <c r="M26" s="6">
        <f>ROUND(SETUP!$G$3 * SETUP!$I$3, 2)</f>
        <v>0.57999999999999996</v>
      </c>
      <c r="N26" s="6">
        <f>SETUP!$G$3 + SUM(Tabela1[[#This Row],[EMOL CP]]:Tabela1[[#This Row],[OUTRAS CP]])</f>
        <v>195.62</v>
      </c>
      <c r="O26" s="6">
        <f>TRUNC([APLICAÇÃO] * 2  * SETUP!$A$3, 2)</f>
        <v>99.32</v>
      </c>
      <c r="P26" s="6">
        <f>TRUNC([APLICAÇÃO] * 2  * SETUP!$B$3, 2)</f>
        <v>73.819999999999993</v>
      </c>
      <c r="Q26" s="6">
        <f>TRUNC([APLICAÇÃO] * 2  * SETUP!$C$3, 2)</f>
        <v>186.57</v>
      </c>
      <c r="R26" s="6">
        <f>TRUNC(SETUP!$G$3  * SETUP!$H$3, 2)</f>
        <v>0.28999999999999998</v>
      </c>
      <c r="S26" s="6">
        <f>ROUND(SETUP!$G$3 * SETUP!$I$3, 2)</f>
        <v>0.57999999999999996</v>
      </c>
      <c r="T26" s="6">
        <f>SETUP!$G$3 + SUM(Tabela1[[#This Row],[EMOL VD]]:Tabela1[[#This Row],[OUTRAS VD]])</f>
        <v>375.47999999999996</v>
      </c>
      <c r="U26" s="61">
        <f>((([APLICAÇÃO] * 2) - [TAXA VD]) - ([APLICAÇÃO] + [TAXA CP])) * 0.85</f>
        <v>113606.07000000004</v>
      </c>
      <c r="V26" s="6">
        <f>IF([LUCRO] &lt; 0, 0, ROUND([LUCRO]*80%, 2))</f>
        <v>90884.86</v>
      </c>
      <c r="W26" s="6">
        <f>[LUCRO]-[PROTEÇÃO MÊS]</f>
        <v>22721.210000000006</v>
      </c>
      <c r="X26" s="50">
        <f>SUMPRODUCT(N([TRADE] &lt;= Tabela1[[#This Row],[TRADE]]), [PROTEÇÃO MÊS]) - [APORTE RF]</f>
        <v>565894.94000000006</v>
      </c>
      <c r="Y26" s="6">
        <f>[TOT RF] + [REINVESTIR] + [APLICAÇÃO]</f>
        <v>722841.45000000007</v>
      </c>
      <c r="Z26" s="4">
        <f>IF(AND([PROTEÇÃO MÊS] &gt; 0, ([TOT RF] - [PROTEÇÃO MÊS]) &gt; 0), [PROTEÇÃO MÊS] / ([TOT RF] - [PROTEÇÃO MÊS]), 0)</f>
        <v>0.19133248709164233</v>
      </c>
    </row>
    <row r="27" spans="1:26">
      <c r="A27" s="1">
        <v>26</v>
      </c>
      <c r="B27" s="20">
        <v>41760</v>
      </c>
      <c r="C27" s="3"/>
      <c r="D27" s="3"/>
      <c r="E27" s="3">
        <v>133434.07999999999</v>
      </c>
      <c r="F27" s="6">
        <v>700</v>
      </c>
      <c r="G27" s="6">
        <f>SUMPRODUCT(N([TRADE] &lt;= Tabela1[[#This Row],[TRADE]]), [APORTE]) + SUMPRODUCT(N([TRADE] &lt;= Tabela1[[#This Row],[TRADE]]), [APORTE RF])</f>
        <v>17098.599999999999</v>
      </c>
      <c r="H27" s="6">
        <f>[MONTANTE] - SUMPRODUCT(N([TRADE] &lt;= Tabela1[[#This Row],[TRADE]]), [SAQUE]) + SUMPRODUCT(N([TRADE] &lt; Tabela1[[#This Row],[TRADE]]), [REINVESTIR])</f>
        <v>157646.51000000004</v>
      </c>
      <c r="I27" s="6">
        <f>TRUNC([APLICAÇÃO]  * SETUP!$A$3, 2)</f>
        <v>58.32</v>
      </c>
      <c r="J27" s="6">
        <f>TRUNC([APLICAÇÃO]  * SETUP!$B$3, 2)</f>
        <v>43.35</v>
      </c>
      <c r="K27" s="6">
        <f>TRUNC([APLICAÇÃO]  * SETUP!$C$3, 2)</f>
        <v>109.56</v>
      </c>
      <c r="L27" s="6">
        <f>TRUNC(SETUP!$G$3  * SETUP!$H$3, 2)</f>
        <v>0.28999999999999998</v>
      </c>
      <c r="M27" s="6">
        <f>ROUND(SETUP!$G$3 * SETUP!$I$3, 2)</f>
        <v>0.57999999999999996</v>
      </c>
      <c r="N27" s="6">
        <f>SETUP!$G$3 + SUM(Tabela1[[#This Row],[EMOL CP]]:Tabela1[[#This Row],[OUTRAS CP]])</f>
        <v>227.00000000000003</v>
      </c>
      <c r="O27" s="6">
        <f>TRUNC([APLICAÇÃO] * 2  * SETUP!$A$3, 2)</f>
        <v>116.65</v>
      </c>
      <c r="P27" s="6">
        <f>TRUNC([APLICAÇÃO] * 2  * SETUP!$B$3, 2)</f>
        <v>86.7</v>
      </c>
      <c r="Q27" s="6">
        <f>TRUNC([APLICAÇÃO] * 2  * SETUP!$C$3, 2)</f>
        <v>219.12</v>
      </c>
      <c r="R27" s="6">
        <f>TRUNC(SETUP!$G$3  * SETUP!$H$3, 2)</f>
        <v>0.28999999999999998</v>
      </c>
      <c r="S27" s="6">
        <f>ROUND(SETUP!$G$3 * SETUP!$I$3, 2)</f>
        <v>0.57999999999999996</v>
      </c>
      <c r="T27" s="6">
        <f>SETUP!$G$3 + SUM(Tabela1[[#This Row],[EMOL VD]]:Tabela1[[#This Row],[OUTRAS VD]])</f>
        <v>438.24</v>
      </c>
      <c r="U27" s="61">
        <f>((([APLICAÇÃO] * 2) - [TAXA VD]) - ([APLICAÇÃO] + [TAXA CP])) * 0.85</f>
        <v>133434.07950000005</v>
      </c>
      <c r="V27" s="6">
        <f>IF([LUCRO] &lt; 0, 0, ROUND([LUCRO]*80%, 2))</f>
        <v>106747.26</v>
      </c>
      <c r="W27" s="6">
        <f>[LUCRO]-[PROTEÇÃO MÊS]</f>
        <v>26686.819999999992</v>
      </c>
      <c r="X27" s="50">
        <f>SUMPRODUCT(N([TRADE] &lt;= Tabela1[[#This Row],[TRADE]]), [PROTEÇÃO MÊS]) - [APORTE RF]</f>
        <v>672642.20000000007</v>
      </c>
      <c r="Y27" s="6">
        <f>[TOT RF] + [REINVESTIR] + [APLICAÇÃO]</f>
        <v>856975.53</v>
      </c>
      <c r="Z27" s="4">
        <f>IF(AND([PROTEÇÃO MÊS] &gt; 0, ([TOT RF] - [PROTEÇÃO MÊS]) &gt; 0), [PROTEÇÃO MÊS] / ([TOT RF] - [PROTEÇÃO MÊS]), 0)</f>
        <v>0.18863441330646991</v>
      </c>
    </row>
    <row r="28" spans="1:26">
      <c r="A28" s="1">
        <v>27</v>
      </c>
      <c r="B28" s="20">
        <v>41791</v>
      </c>
      <c r="C28" s="21"/>
      <c r="D28" s="21"/>
      <c r="E28" s="21">
        <v>156619.29</v>
      </c>
      <c r="F28" s="6">
        <v>700</v>
      </c>
      <c r="G28" s="22">
        <f>SUMPRODUCT(N([TRADE] &lt;= Tabela1[[#This Row],[TRADE]]), [APORTE]) + SUMPRODUCT(N([TRADE] &lt;= Tabela1[[#This Row],[TRADE]]), [APORTE RF])</f>
        <v>17798.599999999999</v>
      </c>
      <c r="H28" s="22">
        <f>[MONTANTE] - SUMPRODUCT(N([TRADE] &lt;= Tabela1[[#This Row],[TRADE]]), [SAQUE]) + SUMPRODUCT(N([TRADE] &lt; Tabela1[[#This Row],[TRADE]]), [REINVESTIR])</f>
        <v>185033.33000000005</v>
      </c>
      <c r="I28" s="22">
        <f>TRUNC([APLICAÇÃO]  * SETUP!$A$3, 2)</f>
        <v>68.459999999999994</v>
      </c>
      <c r="J28" s="22">
        <f>TRUNC([APLICAÇÃO]  * SETUP!$B$3, 2)</f>
        <v>50.88</v>
      </c>
      <c r="K28" s="22">
        <f>TRUNC([APLICAÇÃO]  * SETUP!$C$3, 2)</f>
        <v>128.59</v>
      </c>
      <c r="L28" s="22">
        <f>TRUNC(SETUP!$G$3  * SETUP!$H$3, 2)</f>
        <v>0.28999999999999998</v>
      </c>
      <c r="M28" s="22">
        <f>ROUND(SETUP!$G$3 * SETUP!$I$3, 2)</f>
        <v>0.57999999999999996</v>
      </c>
      <c r="N28" s="22">
        <f>SETUP!$G$3 + SUM(Tabela1[[#This Row],[EMOL CP]]:Tabela1[[#This Row],[OUTRAS CP]])</f>
        <v>263.7</v>
      </c>
      <c r="O28" s="22">
        <f>TRUNC([APLICAÇÃO] * 2  * SETUP!$A$3, 2)</f>
        <v>136.91999999999999</v>
      </c>
      <c r="P28" s="22">
        <f>TRUNC([APLICAÇÃO] * 2  * SETUP!$B$3, 2)</f>
        <v>101.76</v>
      </c>
      <c r="Q28" s="22">
        <f>TRUNC([APLICAÇÃO] * 2  * SETUP!$C$3, 2)</f>
        <v>257.19</v>
      </c>
      <c r="R28" s="22">
        <f>TRUNC(SETUP!$G$3  * SETUP!$H$3, 2)</f>
        <v>0.28999999999999998</v>
      </c>
      <c r="S28" s="22">
        <f>ROUND(SETUP!$G$3 * SETUP!$I$3, 2)</f>
        <v>0.57999999999999996</v>
      </c>
      <c r="T28" s="22">
        <f>SETUP!$G$3 + SUM(Tabela1[[#This Row],[EMOL VD]]:Tabela1[[#This Row],[OUTRAS VD]])</f>
        <v>511.64</v>
      </c>
      <c r="U28" s="62">
        <f>((([APLICAÇÃO] * 2) - [TAXA VD]) - ([APLICAÇÃO] + [TAXA CP])) * 0.85</f>
        <v>156619.29150000002</v>
      </c>
      <c r="V28" s="22">
        <f>IF([LUCRO] &lt; 0, 0, ROUND([LUCRO]*80%, 2))</f>
        <v>125295.43</v>
      </c>
      <c r="W28" s="22">
        <f>[LUCRO]-[PROTEÇÃO MÊS]</f>
        <v>31323.860000000015</v>
      </c>
      <c r="X28" s="51">
        <f>SUMPRODUCT(N([TRADE] &lt;= Tabela1[[#This Row],[TRADE]]), [PROTEÇÃO MÊS]) - [APORTE RF]</f>
        <v>797937.63000000012</v>
      </c>
      <c r="Y28" s="22">
        <f>[TOT RF] + [REINVESTIR] + [APLICAÇÃO]</f>
        <v>1014294.8200000002</v>
      </c>
      <c r="Z28" s="24">
        <f>IF(AND([PROTEÇÃO MÊS] &gt; 0, ([TOT RF] - [PROTEÇÃO MÊS]) &gt; 0), [PROTEÇÃO MÊS] / ([TOT RF] - [PROTEÇÃO MÊS]), 0)</f>
        <v>0.18627351956210889</v>
      </c>
    </row>
    <row r="29" spans="1:26">
      <c r="A29" s="1">
        <v>28</v>
      </c>
      <c r="B29" s="20">
        <v>41821</v>
      </c>
      <c r="C29" s="21"/>
      <c r="D29" s="21"/>
      <c r="E29" s="21">
        <v>183730.14</v>
      </c>
      <c r="F29" s="6">
        <v>700</v>
      </c>
      <c r="G29" s="22">
        <f>SUMPRODUCT(N([TRADE] &lt;= Tabela1[[#This Row],[TRADE]]), [APORTE]) + SUMPRODUCT(N([TRADE] &lt;= Tabela1[[#This Row],[TRADE]]), [APORTE RF])</f>
        <v>18498.599999999999</v>
      </c>
      <c r="H29" s="22">
        <f>[MONTANTE] - SUMPRODUCT(N([TRADE] &lt;= Tabela1[[#This Row],[TRADE]]), [SAQUE]) + SUMPRODUCT(N([TRADE] &lt; Tabela1[[#This Row],[TRADE]]), [REINVESTIR])</f>
        <v>217057.19000000006</v>
      </c>
      <c r="I29" s="22">
        <f>TRUNC([APLICAÇÃO]  * SETUP!$A$3, 2)</f>
        <v>80.31</v>
      </c>
      <c r="J29" s="22">
        <f>TRUNC([APLICAÇÃO]  * SETUP!$B$3, 2)</f>
        <v>59.69</v>
      </c>
      <c r="K29" s="22">
        <f>TRUNC([APLICAÇÃO]  * SETUP!$C$3, 2)</f>
        <v>150.85</v>
      </c>
      <c r="L29" s="22">
        <f>TRUNC(SETUP!$G$3  * SETUP!$H$3, 2)</f>
        <v>0.28999999999999998</v>
      </c>
      <c r="M29" s="22">
        <f>ROUND(SETUP!$G$3 * SETUP!$I$3, 2)</f>
        <v>0.57999999999999996</v>
      </c>
      <c r="N29" s="22">
        <f>SETUP!$G$3 + SUM(Tabela1[[#This Row],[EMOL CP]]:Tabela1[[#This Row],[OUTRAS CP]])</f>
        <v>306.62</v>
      </c>
      <c r="O29" s="22">
        <f>TRUNC([APLICAÇÃO] * 2  * SETUP!$A$3, 2)</f>
        <v>160.62</v>
      </c>
      <c r="P29" s="22">
        <f>TRUNC([APLICAÇÃO] * 2  * SETUP!$B$3, 2)</f>
        <v>119.38</v>
      </c>
      <c r="Q29" s="22">
        <f>TRUNC([APLICAÇÃO] * 2  * SETUP!$C$3, 2)</f>
        <v>301.7</v>
      </c>
      <c r="R29" s="22">
        <f>TRUNC(SETUP!$G$3  * SETUP!$H$3, 2)</f>
        <v>0.28999999999999998</v>
      </c>
      <c r="S29" s="22">
        <f>ROUND(SETUP!$G$3 * SETUP!$I$3, 2)</f>
        <v>0.57999999999999996</v>
      </c>
      <c r="T29" s="22">
        <f>SETUP!$G$3 + SUM(Tabela1[[#This Row],[EMOL VD]]:Tabela1[[#This Row],[OUTRAS VD]])</f>
        <v>597.47</v>
      </c>
      <c r="U29" s="62">
        <f>((([APLICAÇÃO] * 2) - [TAXA VD]) - ([APLICAÇÃO] + [TAXA CP])) * 0.85</f>
        <v>183730.13500000007</v>
      </c>
      <c r="V29" s="22">
        <f>IF([LUCRO] &lt; 0, 0, ROUND([LUCRO]*80%, 2))</f>
        <v>146984.10999999999</v>
      </c>
      <c r="W29" s="22">
        <f>[LUCRO]-[PROTEÇÃO MÊS]</f>
        <v>36746.030000000028</v>
      </c>
      <c r="X29" s="51">
        <f>SUMPRODUCT(N([TRADE] &lt;= Tabela1[[#This Row],[TRADE]]), [PROTEÇÃO MÊS]) - [APORTE RF]</f>
        <v>944921.74000000011</v>
      </c>
      <c r="Y29" s="22">
        <f>[TOT RF] + [REINVESTIR] + [APLICAÇÃO]</f>
        <v>1198724.9600000002</v>
      </c>
      <c r="Z29" s="24">
        <f>IF(AND([PROTEÇÃO MÊS] &gt; 0, ([TOT RF] - [PROTEÇÃO MÊS]) &gt; 0), [PROTEÇÃO MÊS] / ([TOT RF] - [PROTEÇÃO MÊS]), 0)</f>
        <v>0.18420501111095608</v>
      </c>
    </row>
    <row r="30" spans="1:26">
      <c r="A30" s="1">
        <v>29</v>
      </c>
      <c r="B30" s="20">
        <v>41852</v>
      </c>
      <c r="C30" s="47"/>
      <c r="D30" s="47"/>
      <c r="E30" s="47">
        <v>215431.33</v>
      </c>
      <c r="F30" s="48">
        <v>700</v>
      </c>
      <c r="G30" s="48">
        <f>SUMPRODUCT(N([TRADE] &lt;= Tabela1[[#This Row],[TRADE]]), [APORTE]) + SUMPRODUCT(N([TRADE] &lt;= Tabela1[[#This Row],[TRADE]]), [APORTE RF])</f>
        <v>19198.599999999999</v>
      </c>
      <c r="H30" s="48">
        <f>[MONTANTE] - SUMPRODUCT(N([TRADE] &lt;= Tabela1[[#This Row],[TRADE]]), [SAQUE]) + SUMPRODUCT(N([TRADE] &lt; Tabela1[[#This Row],[TRADE]]), [REINVESTIR])</f>
        <v>254503.22000000009</v>
      </c>
      <c r="I30" s="48">
        <f>TRUNC([APLICAÇÃO]  * SETUP!$A$3, 2)</f>
        <v>94.16</v>
      </c>
      <c r="J30" s="48">
        <f>TRUNC([APLICAÇÃO]  * SETUP!$B$3, 2)</f>
        <v>69.98</v>
      </c>
      <c r="K30" s="48">
        <f>TRUNC([APLICAÇÃO]  * SETUP!$C$3, 2)</f>
        <v>176.87</v>
      </c>
      <c r="L30" s="48">
        <f>TRUNC(SETUP!$G$3  * SETUP!$H$3, 2)</f>
        <v>0.28999999999999998</v>
      </c>
      <c r="M30" s="48">
        <f>ROUND(SETUP!$G$3 * SETUP!$I$3, 2)</f>
        <v>0.57999999999999996</v>
      </c>
      <c r="N30" s="48">
        <f>SETUP!$G$3 + SUM(Tabela1[[#This Row],[EMOL CP]]:Tabela1[[#This Row],[OUTRAS CP]])</f>
        <v>356.78</v>
      </c>
      <c r="O30" s="48">
        <f>TRUNC([APLICAÇÃO] * 2  * SETUP!$A$3, 2)</f>
        <v>188.33</v>
      </c>
      <c r="P30" s="48">
        <f>TRUNC([APLICAÇÃO] * 2  * SETUP!$B$3, 2)</f>
        <v>139.97</v>
      </c>
      <c r="Q30" s="48">
        <f>TRUNC([APLICAÇÃO] * 2  * SETUP!$C$3, 2)</f>
        <v>353.75</v>
      </c>
      <c r="R30" s="48">
        <f>TRUNC(SETUP!$G$3  * SETUP!$H$3, 2)</f>
        <v>0.28999999999999998</v>
      </c>
      <c r="S30" s="48">
        <f>ROUND(SETUP!$G$3 * SETUP!$I$3, 2)</f>
        <v>0.57999999999999996</v>
      </c>
      <c r="T30" s="48">
        <f>SETUP!$G$3 + SUM(Tabela1[[#This Row],[EMOL VD]]:Tabela1[[#This Row],[OUTRAS VD]])</f>
        <v>697.81999999999994</v>
      </c>
      <c r="U30" s="62">
        <f>((([APLICAÇÃO] * 2) - [TAXA VD]) - ([APLICAÇÃO] + [TAXA CP])) * 0.85</f>
        <v>215431.32700000008</v>
      </c>
      <c r="V30" s="48">
        <f>IF([LUCRO] &lt; 0, 0, ROUND([LUCRO]*80%, 2))</f>
        <v>172345.06</v>
      </c>
      <c r="W30" s="48">
        <f>[LUCRO]-[PROTEÇÃO MÊS]</f>
        <v>43086.26999999999</v>
      </c>
      <c r="X30" s="51">
        <f>SUMPRODUCT(N([TRADE] &lt;= Tabela1[[#This Row],[TRADE]]), [PROTEÇÃO MÊS]) - [APORTE RF]</f>
        <v>1117266.8</v>
      </c>
      <c r="Y30" s="48">
        <f>[TOT RF] + [REINVESTIR] + [APLICAÇÃO]</f>
        <v>1414856.29</v>
      </c>
      <c r="Z30" s="49">
        <f>IF(AND([PROTEÇÃO MÊS] &gt; 0, ([TOT RF] - [PROTEÇÃO MÊS]) &gt; 0), [PROTEÇÃO MÊS] / ([TOT RF] - [PROTEÇÃO MÊS]), 0)</f>
        <v>0.18239082953049635</v>
      </c>
    </row>
    <row r="31" spans="1:26">
      <c r="A31" s="1">
        <v>30</v>
      </c>
      <c r="B31" s="20">
        <v>41883</v>
      </c>
      <c r="C31" s="21"/>
      <c r="D31" s="21"/>
      <c r="E31" s="21">
        <v>252500.03</v>
      </c>
      <c r="F31" s="48">
        <v>700</v>
      </c>
      <c r="G31" s="22">
        <f>SUMPRODUCT(N([TRADE] &lt;= Tabela1[[#This Row],[TRADE]]), [APORTE]) + SUMPRODUCT(N([TRADE] &lt;= Tabela1[[#This Row],[TRADE]]), [APORTE RF])</f>
        <v>19898.599999999999</v>
      </c>
      <c r="H31" s="22">
        <f>[MONTANTE] - SUMPRODUCT(N([TRADE] &lt;= Tabela1[[#This Row],[TRADE]]), [SAQUE]) + SUMPRODUCT(N([TRADE] &lt; Tabela1[[#This Row],[TRADE]]), [REINVESTIR])</f>
        <v>298289.49000000005</v>
      </c>
      <c r="I31" s="22">
        <f>TRUNC([APLICAÇÃO]  * SETUP!$A$3, 2)</f>
        <v>110.36</v>
      </c>
      <c r="J31" s="22">
        <f>TRUNC([APLICAÇÃO]  * SETUP!$B$3, 2)</f>
        <v>82.02</v>
      </c>
      <c r="K31" s="22">
        <f>TRUNC([APLICAÇÃO]  * SETUP!$C$3, 2)</f>
        <v>207.31</v>
      </c>
      <c r="L31" s="22">
        <f>TRUNC(SETUP!$G$3  * SETUP!$H$3, 2)</f>
        <v>0.28999999999999998</v>
      </c>
      <c r="M31" s="22">
        <f>ROUND(SETUP!$G$3 * SETUP!$I$3, 2)</f>
        <v>0.57999999999999996</v>
      </c>
      <c r="N31" s="22">
        <f>SETUP!$G$3 + SUM(Tabela1[[#This Row],[EMOL CP]]:Tabela1[[#This Row],[OUTRAS CP]])</f>
        <v>415.46</v>
      </c>
      <c r="O31" s="22">
        <f>TRUNC([APLICAÇÃO] * 2  * SETUP!$A$3, 2)</f>
        <v>220.73</v>
      </c>
      <c r="P31" s="22">
        <f>TRUNC([APLICAÇÃO] * 2  * SETUP!$B$3, 2)</f>
        <v>164.05</v>
      </c>
      <c r="Q31" s="22">
        <f>TRUNC([APLICAÇÃO] * 2  * SETUP!$C$3, 2)</f>
        <v>414.62</v>
      </c>
      <c r="R31" s="22">
        <f>TRUNC(SETUP!$G$3  * SETUP!$H$3, 2)</f>
        <v>0.28999999999999998</v>
      </c>
      <c r="S31" s="22">
        <f>ROUND(SETUP!$G$3 * SETUP!$I$3, 2)</f>
        <v>0.57999999999999996</v>
      </c>
      <c r="T31" s="22">
        <f>SETUP!$G$3 + SUM(Tabela1[[#This Row],[EMOL VD]]:Tabela1[[#This Row],[OUTRAS VD]])</f>
        <v>815.17</v>
      </c>
      <c r="U31" s="62">
        <f>((([APLICAÇÃO] * 2) - [TAXA VD]) - ([APLICAÇÃO] + [TAXA CP])) * 0.85</f>
        <v>252500.03099999999</v>
      </c>
      <c r="V31" s="22">
        <f>IF([LUCRO] &lt; 0, 0, ROUND([LUCRO]*80%, 2))</f>
        <v>202000.02</v>
      </c>
      <c r="W31" s="22">
        <f>[LUCRO]-[PROTEÇÃO MÊS]</f>
        <v>50500.010000000009</v>
      </c>
      <c r="X31" s="51">
        <f>SUMPRODUCT(N([TRADE] &lt;= Tabela1[[#This Row],[TRADE]]), [PROTEÇÃO MÊS]) - [APORTE RF]</f>
        <v>1319266.82</v>
      </c>
      <c r="Y31" s="22">
        <f>[TOT RF] + [REINVESTIR] + [APLICAÇÃO]</f>
        <v>1668056.32</v>
      </c>
      <c r="Z31" s="24">
        <f>IF(AND([PROTEÇÃO MÊS] &gt; 0, ([TOT RF] - [PROTEÇÃO MÊS]) &gt; 0), [PROTEÇÃO MÊS] / ([TOT RF] - [PROTEÇÃO MÊS]), 0)</f>
        <v>0.18079837331602441</v>
      </c>
    </row>
    <row r="32" spans="1:26" ht="15">
      <c r="A32" s="1" t="s">
        <v>37</v>
      </c>
      <c r="C32" s="17"/>
      <c r="D32" s="17"/>
      <c r="E32" s="17"/>
      <c r="F32" s="16">
        <f>SUBTOTAL(109,[APORTE])</f>
        <v>19898.599999999999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6"/>
      <c r="X32" s="52"/>
      <c r="Y32" s="16"/>
      <c r="Z32" s="55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F2:F5 Y2 F10:F31 F6:F9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Z32"/>
  <sheetViews>
    <sheetView workbookViewId="0">
      <selection activeCell="W23" sqref="W23"/>
    </sheetView>
  </sheetViews>
  <sheetFormatPr defaultRowHeight="11.25"/>
  <cols>
    <col min="1" max="1" width="7.42578125" style="1" bestFit="1" customWidth="1"/>
    <col min="2" max="2" width="10" style="26" bestFit="1" customWidth="1"/>
    <col min="3" max="3" width="10.140625" style="1" bestFit="1" customWidth="1"/>
    <col min="4" max="4" width="8.5703125" style="1" bestFit="1" customWidth="1"/>
    <col min="5" max="5" width="10.7109375" style="3" bestFit="1" customWidth="1"/>
    <col min="6" max="6" width="8.5703125" style="1" bestFit="1" customWidth="1"/>
    <col min="7" max="7" width="12.85546875" style="1" hidden="1" customWidth="1"/>
    <col min="8" max="8" width="10.85546875" style="1" bestFit="1" customWidth="1"/>
    <col min="9" max="9" width="7.85546875" style="1" hidden="1" customWidth="1"/>
    <col min="10" max="10" width="7.140625" style="1" hidden="1" customWidth="1"/>
    <col min="11" max="11" width="10.5703125" style="1" hidden="1" customWidth="1"/>
    <col min="12" max="12" width="8.85546875" style="1" hidden="1" customWidth="1"/>
    <col min="13" max="18" width="9.140625" style="1" hidden="1" customWidth="1"/>
    <col min="19" max="19" width="11.42578125" style="1" hidden="1" customWidth="1"/>
    <col min="20" max="20" width="11.5703125" style="1" hidden="1" customWidth="1"/>
    <col min="21" max="21" width="11.28515625" style="12" bestFit="1" customWidth="1"/>
    <col min="22" max="22" width="13.28515625" style="1" bestFit="1" customWidth="1"/>
    <col min="23" max="23" width="10.5703125" style="1" bestFit="1" customWidth="1"/>
    <col min="24" max="24" width="11.5703125" style="2" bestFit="1" customWidth="1"/>
    <col min="25" max="25" width="11.85546875" style="1" bestFit="1" customWidth="1"/>
    <col min="26" max="26" width="6.85546875" style="4" bestFit="1" customWidth="1"/>
    <col min="27" max="16384" width="9.140625" style="1"/>
  </cols>
  <sheetData>
    <row r="1" spans="1:26">
      <c r="A1" s="2" t="s">
        <v>30</v>
      </c>
      <c r="B1" s="28" t="s">
        <v>3</v>
      </c>
      <c r="C1" s="2" t="s">
        <v>31</v>
      </c>
      <c r="D1" s="13" t="s">
        <v>35</v>
      </c>
      <c r="E1" s="13" t="s">
        <v>1</v>
      </c>
      <c r="F1" s="2" t="s">
        <v>0</v>
      </c>
      <c r="G1" s="2" t="s">
        <v>4</v>
      </c>
      <c r="H1" s="2" t="s">
        <v>6</v>
      </c>
      <c r="I1" s="2" t="s">
        <v>15</v>
      </c>
      <c r="J1" s="2" t="s">
        <v>16</v>
      </c>
      <c r="K1" s="2" t="s">
        <v>17</v>
      </c>
      <c r="L1" s="2" t="s">
        <v>21</v>
      </c>
      <c r="M1" s="2" t="s">
        <v>20</v>
      </c>
      <c r="N1" s="2" t="s">
        <v>19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8</v>
      </c>
      <c r="V1" s="2" t="s">
        <v>36</v>
      </c>
      <c r="W1" s="2" t="s">
        <v>5</v>
      </c>
      <c r="X1" s="2" t="s">
        <v>9</v>
      </c>
      <c r="Y1" s="2" t="s">
        <v>32</v>
      </c>
      <c r="Z1" s="54" t="s">
        <v>38</v>
      </c>
    </row>
    <row r="2" spans="1:26">
      <c r="A2" s="1">
        <v>1</v>
      </c>
      <c r="B2" s="26">
        <v>41000</v>
      </c>
      <c r="C2" s="3">
        <v>0</v>
      </c>
      <c r="D2" s="3">
        <v>0</v>
      </c>
      <c r="E2" s="3">
        <v>0</v>
      </c>
      <c r="F2" s="3">
        <v>100</v>
      </c>
      <c r="G2" s="3">
        <f>SUMPRODUCT(N([TRADE] &lt;= Tabela13[[#This Row],[TRADE]]), [APORTE]) + SUMPRODUCT(N([TRADE] &lt;= Tabela13[[#This Row],[TRADE]]), [APORTE RF])</f>
        <v>100</v>
      </c>
      <c r="H2" s="3">
        <f>[MONTANTE] - SUMPRODUCT(N([TRADE] &lt;= Tabela13[[#This Row],[TRADE]]), [SAQUE]) + SUMPRODUCT(N([TRADE] &lt; Tabela13[[#This Row],[TRADE]]), [REINVESTIR])</f>
        <v>100</v>
      </c>
      <c r="I2" s="3">
        <f>TRUNC([APLICAÇÃO]  * SETUP!$A$3, 2)</f>
        <v>0.03</v>
      </c>
      <c r="J2" s="3">
        <f>TRUNC([APLICAÇÃO]  * SETUP!$B$3, 2)</f>
        <v>0.02</v>
      </c>
      <c r="K2" s="3">
        <f>TRUNC([APLICAÇÃO]  * SETUP!$C$3, 2)</f>
        <v>0.06</v>
      </c>
      <c r="L2" s="3">
        <f>TRUNC(SETUP!$G$3  * SETUP!$H$3, 2)</f>
        <v>0.28999999999999998</v>
      </c>
      <c r="M2" s="3">
        <f>ROUND(SETUP!$G$3 * SETUP!$I$3, 2)</f>
        <v>0.57999999999999996</v>
      </c>
      <c r="N2" s="3">
        <f>SETUP!$G$3 + SUM(Tabela13[[#This Row],[EMOL CP]]:Tabela13[[#This Row],[OUTRAS CP]])</f>
        <v>15.88</v>
      </c>
      <c r="O2" s="3">
        <f>TRUNC([APLICAÇÃO] * 2  * SETUP!$A$3, 2)</f>
        <v>7.0000000000000007E-2</v>
      </c>
      <c r="P2" s="3">
        <f>TRUNC([APLICAÇÃO] * 2  * SETUP!$B$3, 2)</f>
        <v>0.05</v>
      </c>
      <c r="Q2" s="3">
        <f>TRUNC([APLICAÇÃO] * 2  * SETUP!$C$3, 2)</f>
        <v>0.13</v>
      </c>
      <c r="R2" s="3">
        <f>TRUNC(SETUP!$G$3  * SETUP!$H$3, 2)</f>
        <v>0.28999999999999998</v>
      </c>
      <c r="S2" s="3">
        <f>ROUND(SETUP!$G$3 * SETUP!$I$3, 2)</f>
        <v>0.57999999999999996</v>
      </c>
      <c r="T2" s="3">
        <f>SETUP!$G$3 + SUM(Tabela13[[#This Row],[EMOL VD]]:Tabela13[[#This Row],[OUTRAS VD]])</f>
        <v>16.02</v>
      </c>
      <c r="U2" s="3">
        <f>((([APLICAÇÃO] * 2) - [TAXA VD]) - ([APLICAÇÃO] + [TAXA CP])) * 0.85</f>
        <v>57.884999999999991</v>
      </c>
      <c r="V2" s="3">
        <f>IF([LUCRO] &lt; 0, 0, ROUND([LUCRO]*80%, 2))</f>
        <v>0</v>
      </c>
      <c r="W2" s="3">
        <f>[LUCRO]-[PROTEÇÃO MÊS]</f>
        <v>0</v>
      </c>
      <c r="X2" s="13">
        <f>SUMPRODUCT(N([TRADE] &lt;= Tabela13[[#This Row],[TRADE]]), [PROTEÇÃO MÊS]) - [APORTE RF]</f>
        <v>0</v>
      </c>
      <c r="Y2" s="6">
        <f>[TOT RF] + [REINVESTIR] + [APLICAÇÃO]</f>
        <v>100</v>
      </c>
      <c r="Z2" s="4">
        <f>IF(AND([PROTEÇÃO MÊS] &gt; 0, ([TOT RF] - [PROTEÇÃO MÊS]) &gt; 0), [PROTEÇÃO MÊS] / ([TOT RF] - [PROTEÇÃO MÊS]), 0)</f>
        <v>0</v>
      </c>
    </row>
    <row r="3" spans="1:26">
      <c r="A3" s="1">
        <v>2</v>
      </c>
      <c r="B3" s="26">
        <v>41030</v>
      </c>
      <c r="C3" s="3">
        <v>0</v>
      </c>
      <c r="D3" s="3">
        <v>0</v>
      </c>
      <c r="E3" s="3">
        <v>491.56</v>
      </c>
      <c r="F3" s="3">
        <v>0</v>
      </c>
      <c r="G3" s="3">
        <f>SUMPRODUCT(N([TRADE] &lt;= Tabela13[[#This Row],[TRADE]]), [APORTE]) + SUMPRODUCT(N([TRADE] &lt;= Tabela13[[#This Row],[TRADE]]), [APORTE RF])</f>
        <v>100</v>
      </c>
      <c r="H3" s="3">
        <f>[MONTANTE] - SUMPRODUCT(N([TRADE] &lt;= Tabela13[[#This Row],[TRADE]]), [SAQUE]) + SUMPRODUCT(N([TRADE] &lt; Tabela13[[#This Row],[TRADE]]), [REINVESTIR])</f>
        <v>100</v>
      </c>
      <c r="I3" s="3">
        <f>TRUNC([APLICAÇÃO]  * SETUP!$A$3, 2)</f>
        <v>0.03</v>
      </c>
      <c r="J3" s="3">
        <f>TRUNC([APLICAÇÃO]  * SETUP!$B$3, 2)</f>
        <v>0.02</v>
      </c>
      <c r="K3" s="3">
        <f>TRUNC([APLICAÇÃO]  * SETUP!$C$3, 2)</f>
        <v>0.06</v>
      </c>
      <c r="L3" s="3">
        <f>TRUNC(SETUP!$G$3  * SETUP!$H$3, 2)</f>
        <v>0.28999999999999998</v>
      </c>
      <c r="M3" s="3">
        <f>ROUND(SETUP!$G$3 * SETUP!$I$3, 2)</f>
        <v>0.57999999999999996</v>
      </c>
      <c r="N3" s="3">
        <f>SETUP!$G$3 + SUM(Tabela13[[#This Row],[EMOL CP]]:Tabela13[[#This Row],[OUTRAS CP]])</f>
        <v>15.88</v>
      </c>
      <c r="O3" s="3">
        <f>TRUNC([APLICAÇÃO] * 2  * SETUP!$A$3, 2)</f>
        <v>7.0000000000000007E-2</v>
      </c>
      <c r="P3" s="3">
        <f>TRUNC([APLICAÇÃO] * 2  * SETUP!$B$3, 2)</f>
        <v>0.05</v>
      </c>
      <c r="Q3" s="3">
        <f>TRUNC([APLICAÇÃO] * 2  * SETUP!$C$3, 2)</f>
        <v>0.13</v>
      </c>
      <c r="R3" s="3">
        <f>TRUNC(SETUP!$G$3  * SETUP!$H$3, 2)</f>
        <v>0.28999999999999998</v>
      </c>
      <c r="S3" s="3">
        <f>ROUND(SETUP!$G$3 * SETUP!$I$3, 2)</f>
        <v>0.57999999999999996</v>
      </c>
      <c r="T3" s="3">
        <f>SETUP!$G$3 + SUM(Tabela13[[#This Row],[EMOL VD]]:Tabela13[[#This Row],[OUTRAS VD]])</f>
        <v>16.02</v>
      </c>
      <c r="U3" s="3">
        <f>((([APLICAÇÃO] * 2) - [TAXA VD]) - ([APLICAÇÃO] + [TAXA CP])) * 0.85</f>
        <v>57.884999999999991</v>
      </c>
      <c r="V3" s="3">
        <f>IF([LUCRO] &lt; 0, 0, ROUND([LUCRO]*80%, 2))</f>
        <v>393.25</v>
      </c>
      <c r="W3" s="3">
        <f>[LUCRO]-[PROTEÇÃO MÊS]</f>
        <v>98.31</v>
      </c>
      <c r="X3" s="13">
        <f>SUMPRODUCT(N([TRADE] &lt;= Tabela13[[#This Row],[TRADE]]), [PROTEÇÃO MÊS]) - [APORTE RF]</f>
        <v>393.25</v>
      </c>
      <c r="Y3" s="6">
        <f>[TOT RF] + [REINVESTIR] + [APLICAÇÃO]</f>
        <v>591.55999999999995</v>
      </c>
      <c r="Z3" s="4">
        <f>IF(AND([PROTEÇÃO MÊS] &gt; 0, ([TOT RF] - [PROTEÇÃO MÊS]) &gt; 0), [PROTEÇÃO MÊS] / ([TOT RF] - [PROTEÇÃO MÊS]), 0)</f>
        <v>0</v>
      </c>
    </row>
    <row r="4" spans="1:26">
      <c r="A4" s="29">
        <v>3</v>
      </c>
      <c r="B4" s="26">
        <v>41061</v>
      </c>
      <c r="C4" s="30">
        <v>0</v>
      </c>
      <c r="D4" s="30">
        <v>0</v>
      </c>
      <c r="E4" s="30">
        <v>516.97</v>
      </c>
      <c r="F4" s="3">
        <v>100</v>
      </c>
      <c r="G4" s="31">
        <f>SUMPRODUCT(N([TRADE] &lt;= Tabela13[[#This Row],[TRADE]]), [APORTE]) + SUMPRODUCT(N([TRADE] &lt;= Tabela13[[#This Row],[TRADE]]), [APORTE RF])</f>
        <v>200</v>
      </c>
      <c r="H4" s="31">
        <f>[MONTANTE] - SUMPRODUCT(N([TRADE] &lt;= Tabela13[[#This Row],[TRADE]]), [SAQUE]) + SUMPRODUCT(N([TRADE] &lt; Tabela13[[#This Row],[TRADE]]), [REINVESTIR])</f>
        <v>298.31</v>
      </c>
      <c r="I4" s="31">
        <f>TRUNC([APLICAÇÃO]  * SETUP!$A$3, 2)</f>
        <v>0.11</v>
      </c>
      <c r="J4" s="31">
        <f>TRUNC([APLICAÇÃO]  * SETUP!$B$3, 2)</f>
        <v>0.08</v>
      </c>
      <c r="K4" s="31">
        <f>TRUNC([APLICAÇÃO]  * SETUP!$C$3, 2)</f>
        <v>0.2</v>
      </c>
      <c r="L4" s="31">
        <f>TRUNC(SETUP!$G$3  * SETUP!$H$3, 2)</f>
        <v>0.28999999999999998</v>
      </c>
      <c r="M4" s="31">
        <f>ROUND(SETUP!$G$3 * SETUP!$I$3, 2)</f>
        <v>0.57999999999999996</v>
      </c>
      <c r="N4" s="31">
        <f>SETUP!$G$3 + SUM(Tabela13[[#This Row],[EMOL CP]]:Tabela13[[#This Row],[OUTRAS CP]])</f>
        <v>16.16</v>
      </c>
      <c r="O4" s="31">
        <f>TRUNC([APLICAÇÃO] * 2  * SETUP!$A$3, 2)</f>
        <v>0.22</v>
      </c>
      <c r="P4" s="31">
        <f>TRUNC([APLICAÇÃO] * 2  * SETUP!$B$3, 2)</f>
        <v>0.16</v>
      </c>
      <c r="Q4" s="31">
        <f>TRUNC([APLICAÇÃO] * 2  * SETUP!$C$3, 2)</f>
        <v>0.41</v>
      </c>
      <c r="R4" s="31">
        <f>TRUNC(SETUP!$G$3  * SETUP!$H$3, 2)</f>
        <v>0.28999999999999998</v>
      </c>
      <c r="S4" s="31">
        <f>ROUND(SETUP!$G$3 * SETUP!$I$3, 2)</f>
        <v>0.57999999999999996</v>
      </c>
      <c r="T4" s="31">
        <f>SETUP!$G$3 + SUM(Tabela13[[#This Row],[EMOL VD]]:Tabela13[[#This Row],[OUTRAS VD]])</f>
        <v>16.560000000000002</v>
      </c>
      <c r="U4" s="31">
        <f>((([APLICAÇÃO] * 2) - [TAXA VD]) - ([APLICAÇÃO] + [TAXA CP])) * 0.85</f>
        <v>225.75149999999994</v>
      </c>
      <c r="V4" s="31">
        <f>IF([LUCRO] &lt; 0, 0, ROUND([LUCRO]*80%, 2))</f>
        <v>413.58</v>
      </c>
      <c r="W4" s="31">
        <f>[LUCRO]-[PROTEÇÃO MÊS]</f>
        <v>103.39000000000004</v>
      </c>
      <c r="X4" s="51">
        <f>SUMPRODUCT(N([TRADE] &lt;= Tabela13[[#This Row],[TRADE]]), [PROTEÇÃO MÊS]) - [APORTE RF]</f>
        <v>806.82999999999993</v>
      </c>
      <c r="Y4" s="31">
        <f>[TOT RF] + [REINVESTIR] + [APLICAÇÃO]</f>
        <v>1208.53</v>
      </c>
      <c r="Z4" s="24">
        <f>IF(AND([PROTEÇÃO MÊS] &gt; 0, ([TOT RF] - [PROTEÇÃO MÊS]) &gt; 0), [PROTEÇÃO MÊS] / ([TOT RF] - [PROTEÇÃO MÊS]), 0)</f>
        <v>1.0516973935155753</v>
      </c>
    </row>
    <row r="5" spans="1:26">
      <c r="A5" s="1">
        <v>4</v>
      </c>
      <c r="B5" s="26">
        <v>41091</v>
      </c>
      <c r="C5" s="30">
        <v>0</v>
      </c>
      <c r="D5" s="30">
        <v>0</v>
      </c>
      <c r="E5" s="21">
        <v>403.09</v>
      </c>
      <c r="F5" s="3">
        <v>100</v>
      </c>
      <c r="G5" s="22">
        <f>SUMPRODUCT(N([TRADE] &lt;= Tabela13[[#This Row],[TRADE]]), [APORTE]) + SUMPRODUCT(N([TRADE] &lt;= Tabela13[[#This Row],[TRADE]]), [APORTE RF])</f>
        <v>300</v>
      </c>
      <c r="H5" s="22">
        <f>[MONTANTE] - SUMPRODUCT(N([TRADE] &lt;= Tabela13[[#This Row],[TRADE]]), [SAQUE]) + SUMPRODUCT(N([TRADE] &lt; Tabela13[[#This Row],[TRADE]]), [REINVESTIR])</f>
        <v>501.70000000000005</v>
      </c>
      <c r="I5" s="22">
        <f>TRUNC([APLICAÇÃO]  * SETUP!$A$3, 2)</f>
        <v>0.18</v>
      </c>
      <c r="J5" s="22">
        <f>TRUNC([APLICAÇÃO]  * SETUP!$B$3, 2)</f>
        <v>0.13</v>
      </c>
      <c r="K5" s="22">
        <f>TRUNC([APLICAÇÃO]  * SETUP!$C$3, 2)</f>
        <v>0.34</v>
      </c>
      <c r="L5" s="22">
        <f>TRUNC(SETUP!$G$3  * SETUP!$H$3, 2)</f>
        <v>0.28999999999999998</v>
      </c>
      <c r="M5" s="22">
        <f>ROUND(SETUP!$G$3 * SETUP!$I$3, 2)</f>
        <v>0.57999999999999996</v>
      </c>
      <c r="N5" s="22">
        <f>SETUP!$G$3 + SUM(Tabela13[[#This Row],[EMOL CP]]:Tabela13[[#This Row],[OUTRAS CP]])</f>
        <v>16.420000000000002</v>
      </c>
      <c r="O5" s="22">
        <f>TRUNC([APLICAÇÃO] * 2  * SETUP!$A$3, 2)</f>
        <v>0.37</v>
      </c>
      <c r="P5" s="22">
        <f>TRUNC([APLICAÇÃO] * 2  * SETUP!$B$3, 2)</f>
        <v>0.27</v>
      </c>
      <c r="Q5" s="22">
        <f>TRUNC([APLICAÇÃO] * 2  * SETUP!$C$3, 2)</f>
        <v>0.69</v>
      </c>
      <c r="R5" s="22">
        <f>TRUNC(SETUP!$G$3  * SETUP!$H$3, 2)</f>
        <v>0.28999999999999998</v>
      </c>
      <c r="S5" s="22">
        <f>ROUND(SETUP!$G$3 * SETUP!$I$3, 2)</f>
        <v>0.57999999999999996</v>
      </c>
      <c r="T5" s="22">
        <f>SETUP!$G$3 + SUM(Tabela13[[#This Row],[EMOL VD]]:Tabela13[[#This Row],[OUTRAS VD]])</f>
        <v>17.100000000000001</v>
      </c>
      <c r="U5" s="22">
        <f>((([APLICAÇÃO] * 2) - [TAXA VD]) - ([APLICAÇÃO] + [TAXA CP])) * 0.85</f>
        <v>397.95300000000003</v>
      </c>
      <c r="V5" s="22">
        <f>IF([LUCRO] &lt; 0, 0, ROUND([LUCRO]*80%, 2))</f>
        <v>322.47000000000003</v>
      </c>
      <c r="W5" s="22">
        <f>[LUCRO]-[PROTEÇÃO MÊS]</f>
        <v>80.619999999999948</v>
      </c>
      <c r="X5" s="51">
        <f>SUMPRODUCT(N([TRADE] &lt;= Tabela13[[#This Row],[TRADE]]), [PROTEÇÃO MÊS]) - [APORTE RF]</f>
        <v>1129.3</v>
      </c>
      <c r="Y5" s="22">
        <f>[TOT RF] + [REINVESTIR] + [APLICAÇÃO]</f>
        <v>1711.62</v>
      </c>
      <c r="Z5" s="24">
        <f>IF(AND([PROTEÇÃO MÊS] &gt; 0, ([TOT RF] - [PROTEÇÃO MÊS]) &gt; 0), [PROTEÇÃO MÊS] / ([TOT RF] - [PROTEÇÃO MÊS]), 0)</f>
        <v>0.39967527236220773</v>
      </c>
    </row>
    <row r="6" spans="1:26">
      <c r="A6" s="29">
        <v>5</v>
      </c>
      <c r="B6" s="26">
        <v>41122</v>
      </c>
      <c r="C6" s="30">
        <v>0</v>
      </c>
      <c r="D6" s="30">
        <v>0</v>
      </c>
      <c r="E6" s="21">
        <v>550.86</v>
      </c>
      <c r="F6" s="3">
        <v>100</v>
      </c>
      <c r="G6" s="6">
        <f>SUMPRODUCT(N([TRADE] &lt;= Tabela13[[#This Row],[TRADE]]), [APORTE]) + SUMPRODUCT(N([TRADE] &lt;= Tabela13[[#This Row],[TRADE]]), [APORTE RF])</f>
        <v>400</v>
      </c>
      <c r="H6" s="6">
        <f>[MONTANTE] - SUMPRODUCT(N([TRADE] &lt;= Tabela13[[#This Row],[TRADE]]), [SAQUE]) + SUMPRODUCT(N([TRADE] &lt; Tabela13[[#This Row],[TRADE]]), [REINVESTIR])</f>
        <v>682.31999999999994</v>
      </c>
      <c r="I6" s="6">
        <f>TRUNC([APLICAÇÃO]  * SETUP!$A$3, 2)</f>
        <v>0.25</v>
      </c>
      <c r="J6" s="6">
        <f>TRUNC([APLICAÇÃO]  * SETUP!$B$3, 2)</f>
        <v>0.18</v>
      </c>
      <c r="K6" s="6">
        <f>TRUNC([APLICAÇÃO]  * SETUP!$C$3, 2)</f>
        <v>0.47</v>
      </c>
      <c r="L6" s="6">
        <f>TRUNC(SETUP!$G$3  * SETUP!$H$3, 2)</f>
        <v>0.28999999999999998</v>
      </c>
      <c r="M6" s="6">
        <f>ROUND(SETUP!$G$3 * SETUP!$I$3, 2)</f>
        <v>0.57999999999999996</v>
      </c>
      <c r="N6" s="6">
        <f>SETUP!$G$3 + SUM(Tabela13[[#This Row],[EMOL CP]]:Tabela13[[#This Row],[OUTRAS CP]])</f>
        <v>16.670000000000002</v>
      </c>
      <c r="O6" s="6">
        <f>TRUNC([APLICAÇÃO] * 2  * SETUP!$A$3, 2)</f>
        <v>0.5</v>
      </c>
      <c r="P6" s="6">
        <f>TRUNC([APLICAÇÃO] * 2  * SETUP!$B$3, 2)</f>
        <v>0.37</v>
      </c>
      <c r="Q6" s="6">
        <f>TRUNC([APLICAÇÃO] * 2  * SETUP!$C$3, 2)</f>
        <v>0.94</v>
      </c>
      <c r="R6" s="6">
        <f>TRUNC(SETUP!$G$3  * SETUP!$H$3, 2)</f>
        <v>0.28999999999999998</v>
      </c>
      <c r="S6" s="6">
        <f>ROUND(SETUP!$G$3 * SETUP!$I$3, 2)</f>
        <v>0.57999999999999996</v>
      </c>
      <c r="T6" s="6">
        <f>SETUP!$G$3 + SUM(Tabela13[[#This Row],[EMOL VD]]:Tabela13[[#This Row],[OUTRAS VD]])</f>
        <v>17.580000000000002</v>
      </c>
      <c r="U6" s="6">
        <f>((([APLICAÇÃO] * 2) - [TAXA VD]) - ([APLICAÇÃO] + [TAXA CP])) * 0.85</f>
        <v>550.85950000000003</v>
      </c>
      <c r="V6" s="6">
        <f>IF([LUCRO] &lt; 0, 0, ROUND([LUCRO]*80%, 2))</f>
        <v>440.69</v>
      </c>
      <c r="W6" s="6">
        <f>[LUCRO]-[PROTEÇÃO MÊS]</f>
        <v>110.17000000000002</v>
      </c>
      <c r="X6" s="50">
        <f>SUMPRODUCT(N([TRADE] &lt;= Tabela13[[#This Row],[TRADE]]), [PROTEÇÃO MÊS]) - [APORTE RF]</f>
        <v>1569.99</v>
      </c>
      <c r="Y6" s="6">
        <f>[TOT RF] + [REINVESTIR] + [APLICAÇÃO]</f>
        <v>2362.48</v>
      </c>
      <c r="Z6" s="4">
        <f>IF(AND([PROTEÇÃO MÊS] &gt; 0, ([TOT RF] - [PROTEÇÃO MÊS]) &gt; 0), [PROTEÇÃO MÊS] / ([TOT RF] - [PROTEÇÃO MÊS]), 0)</f>
        <v>0.39023288762950503</v>
      </c>
    </row>
    <row r="7" spans="1:26">
      <c r="A7" s="1">
        <v>6</v>
      </c>
      <c r="B7" s="26">
        <v>41153</v>
      </c>
      <c r="C7" s="30">
        <v>0</v>
      </c>
      <c r="D7" s="30">
        <v>0</v>
      </c>
      <c r="E7" s="21">
        <v>728.76</v>
      </c>
      <c r="F7" s="3">
        <v>100</v>
      </c>
      <c r="G7" s="6">
        <f>SUMPRODUCT(N([TRADE] &lt;= Tabela13[[#This Row],[TRADE]]), [APORTE]) + SUMPRODUCT(N([TRADE] &lt;= Tabela13[[#This Row],[TRADE]]), [APORTE RF])</f>
        <v>500</v>
      </c>
      <c r="H7" s="6">
        <f>[MONTANTE] - SUMPRODUCT(N([TRADE] &lt;= Tabela13[[#This Row],[TRADE]]), [SAQUE]) + SUMPRODUCT(N([TRADE] &lt; Tabela13[[#This Row],[TRADE]]), [REINVESTIR])</f>
        <v>892.49</v>
      </c>
      <c r="I7" s="6">
        <f>TRUNC([APLICAÇÃO]  * SETUP!$A$3, 2)</f>
        <v>0.33</v>
      </c>
      <c r="J7" s="6">
        <f>TRUNC([APLICAÇÃO]  * SETUP!$B$3, 2)</f>
        <v>0.24</v>
      </c>
      <c r="K7" s="6">
        <f>TRUNC([APLICAÇÃO]  * SETUP!$C$3, 2)</f>
        <v>0.62</v>
      </c>
      <c r="L7" s="6">
        <f>TRUNC(SETUP!$G$3  * SETUP!$H$3, 2)</f>
        <v>0.28999999999999998</v>
      </c>
      <c r="M7" s="6">
        <f>ROUND(SETUP!$G$3 * SETUP!$I$3, 2)</f>
        <v>0.57999999999999996</v>
      </c>
      <c r="N7" s="6">
        <f>SETUP!$G$3 + SUM(Tabela13[[#This Row],[EMOL CP]]:Tabela13[[#This Row],[OUTRAS CP]])</f>
        <v>16.96</v>
      </c>
      <c r="O7" s="6">
        <f>TRUNC([APLICAÇÃO] * 2  * SETUP!$A$3, 2)</f>
        <v>0.66</v>
      </c>
      <c r="P7" s="6">
        <f>TRUNC([APLICAÇÃO] * 2  * SETUP!$B$3, 2)</f>
        <v>0.49</v>
      </c>
      <c r="Q7" s="6">
        <f>TRUNC([APLICAÇÃO] * 2  * SETUP!$C$3, 2)</f>
        <v>1.24</v>
      </c>
      <c r="R7" s="6">
        <f>TRUNC(SETUP!$G$3  * SETUP!$H$3, 2)</f>
        <v>0.28999999999999998</v>
      </c>
      <c r="S7" s="6">
        <f>ROUND(SETUP!$G$3 * SETUP!$I$3, 2)</f>
        <v>0.57999999999999996</v>
      </c>
      <c r="T7" s="6">
        <f>SETUP!$G$3 + SUM(Tabela13[[#This Row],[EMOL VD]]:Tabela13[[#This Row],[OUTRAS VD]])</f>
        <v>18.16</v>
      </c>
      <c r="U7" s="6">
        <f>((([APLICAÇÃO] * 2) - [TAXA VD]) - ([APLICAÇÃO] + [TAXA CP])) * 0.85</f>
        <v>728.76449999999988</v>
      </c>
      <c r="V7" s="6">
        <f>IF([LUCRO] &lt; 0, 0, ROUND([LUCRO]*80%, 2))</f>
        <v>583.01</v>
      </c>
      <c r="W7" s="6">
        <f>[LUCRO]-[PROTEÇÃO MÊS]</f>
        <v>145.75</v>
      </c>
      <c r="X7" s="50">
        <f>SUMPRODUCT(N([TRADE] &lt;= Tabela13[[#This Row],[TRADE]]), [PROTEÇÃO MÊS]) - [APORTE RF]</f>
        <v>2153</v>
      </c>
      <c r="Y7" s="6">
        <f>[TOT RF] + [REINVESTIR] + [APLICAÇÃO]</f>
        <v>3191.24</v>
      </c>
      <c r="Z7" s="4">
        <f>IF(AND([PROTEÇÃO MÊS] &gt; 0, ([TOT RF] - [PROTEÇÃO MÊS]) &gt; 0), [PROTEÇÃO MÊS] / ([TOT RF] - [PROTEÇÃO MÊS]), 0)</f>
        <v>0.37134631430773446</v>
      </c>
    </row>
    <row r="8" spans="1:26">
      <c r="A8" s="29">
        <v>7</v>
      </c>
      <c r="B8" s="26">
        <v>41183</v>
      </c>
      <c r="C8" s="30">
        <v>0</v>
      </c>
      <c r="D8" s="30">
        <v>0</v>
      </c>
      <c r="E8" s="21">
        <v>936.82</v>
      </c>
      <c r="F8" s="3">
        <v>100</v>
      </c>
      <c r="G8" s="6">
        <f>SUMPRODUCT(N([TRADE] &lt;= Tabela13[[#This Row],[TRADE]]), [APORTE]) + SUMPRODUCT(N([TRADE] &lt;= Tabela13[[#This Row],[TRADE]]), [APORTE RF])</f>
        <v>600</v>
      </c>
      <c r="H8" s="6">
        <f>[MONTANTE] - SUMPRODUCT(N([TRADE] &lt;= Tabela13[[#This Row],[TRADE]]), [SAQUE]) + SUMPRODUCT(N([TRADE] &lt; Tabela13[[#This Row],[TRADE]]), [REINVESTIR])</f>
        <v>1138.24</v>
      </c>
      <c r="I8" s="6">
        <f>TRUNC([APLICAÇÃO]  * SETUP!$A$3, 2)</f>
        <v>0.42</v>
      </c>
      <c r="J8" s="6">
        <f>TRUNC([APLICAÇÃO]  * SETUP!$B$3, 2)</f>
        <v>0.31</v>
      </c>
      <c r="K8" s="6">
        <f>TRUNC([APLICAÇÃO]  * SETUP!$C$3, 2)</f>
        <v>0.79</v>
      </c>
      <c r="L8" s="6">
        <f>TRUNC(SETUP!$G$3  * SETUP!$H$3, 2)</f>
        <v>0.28999999999999998</v>
      </c>
      <c r="M8" s="6">
        <f>ROUND(SETUP!$G$3 * SETUP!$I$3, 2)</f>
        <v>0.57999999999999996</v>
      </c>
      <c r="N8" s="6">
        <f>SETUP!$G$3 + SUM(Tabela13[[#This Row],[EMOL CP]]:Tabela13[[#This Row],[OUTRAS CP]])</f>
        <v>17.29</v>
      </c>
      <c r="O8" s="6">
        <f>TRUNC([APLICAÇÃO] * 2  * SETUP!$A$3, 2)</f>
        <v>0.84</v>
      </c>
      <c r="P8" s="6">
        <f>TRUNC([APLICAÇÃO] * 2  * SETUP!$B$3, 2)</f>
        <v>0.62</v>
      </c>
      <c r="Q8" s="6">
        <f>TRUNC([APLICAÇÃO] * 2  * SETUP!$C$3, 2)</f>
        <v>1.58</v>
      </c>
      <c r="R8" s="6">
        <f>TRUNC(SETUP!$G$3  * SETUP!$H$3, 2)</f>
        <v>0.28999999999999998</v>
      </c>
      <c r="S8" s="6">
        <f>ROUND(SETUP!$G$3 * SETUP!$I$3, 2)</f>
        <v>0.57999999999999996</v>
      </c>
      <c r="T8" s="6">
        <f>SETUP!$G$3 + SUM(Tabela13[[#This Row],[EMOL VD]]:Tabela13[[#This Row],[OUTRAS VD]])</f>
        <v>18.810000000000002</v>
      </c>
      <c r="U8" s="6">
        <f>((([APLICAÇÃO] * 2) - [TAXA VD]) - ([APLICAÇÃO] + [TAXA CP])) * 0.85</f>
        <v>936.81900000000007</v>
      </c>
      <c r="V8" s="6">
        <f>IF([LUCRO] &lt; 0, 0, ROUND([LUCRO]*80%, 2))</f>
        <v>749.46</v>
      </c>
      <c r="W8" s="6">
        <f>[LUCRO]-[PROTEÇÃO MÊS]</f>
        <v>187.36</v>
      </c>
      <c r="X8" s="50">
        <f>SUMPRODUCT(N([TRADE] &lt;= Tabela13[[#This Row],[TRADE]]), [PROTEÇÃO MÊS]) - [APORTE RF]</f>
        <v>2902.46</v>
      </c>
      <c r="Y8" s="6">
        <f>[TOT RF] + [REINVESTIR] + [APLICAÇÃO]</f>
        <v>4228.0600000000004</v>
      </c>
      <c r="Z8" s="4">
        <f>IF(AND([PROTEÇÃO MÊS] &gt; 0, ([TOT RF] - [PROTEÇÃO MÊS]) &gt; 0), [PROTEÇÃO MÊS] / ([TOT RF] - [PROTEÇÃO MÊS]), 0)</f>
        <v>0.34810032512772876</v>
      </c>
    </row>
    <row r="9" spans="1:26">
      <c r="A9" s="1">
        <v>8</v>
      </c>
      <c r="B9" s="26">
        <v>41214</v>
      </c>
      <c r="C9" s="30">
        <v>0</v>
      </c>
      <c r="D9" s="30">
        <v>0</v>
      </c>
      <c r="E9" s="21">
        <v>1180.0999999999999</v>
      </c>
      <c r="F9" s="3">
        <v>100</v>
      </c>
      <c r="G9" s="22">
        <f>SUMPRODUCT(N([TRADE] &lt;= Tabela13[[#This Row],[TRADE]]), [APORTE]) + SUMPRODUCT(N([TRADE] &lt;= Tabela13[[#This Row],[TRADE]]), [APORTE RF])</f>
        <v>700</v>
      </c>
      <c r="H9" s="22">
        <f>[MONTANTE] - SUMPRODUCT(N([TRADE] &lt;= Tabela13[[#This Row],[TRADE]]), [SAQUE]) + SUMPRODUCT(N([TRADE] &lt; Tabela13[[#This Row],[TRADE]]), [REINVESTIR])</f>
        <v>1425.6</v>
      </c>
      <c r="I9" s="22">
        <f>TRUNC([APLICAÇÃO]  * SETUP!$A$3, 2)</f>
        <v>0.52</v>
      </c>
      <c r="J9" s="22">
        <f>TRUNC([APLICAÇÃO]  * SETUP!$B$3, 2)</f>
        <v>0.39</v>
      </c>
      <c r="K9" s="22">
        <f>TRUNC([APLICAÇÃO]  * SETUP!$C$3, 2)</f>
        <v>0.99</v>
      </c>
      <c r="L9" s="22">
        <f>TRUNC(SETUP!$G$3  * SETUP!$H$3, 2)</f>
        <v>0.28999999999999998</v>
      </c>
      <c r="M9" s="22">
        <f>ROUND(SETUP!$G$3 * SETUP!$I$3, 2)</f>
        <v>0.57999999999999996</v>
      </c>
      <c r="N9" s="22">
        <f>SETUP!$G$3 + SUM(Tabela13[[#This Row],[EMOL CP]]:Tabela13[[#This Row],[OUTRAS CP]])</f>
        <v>17.670000000000002</v>
      </c>
      <c r="O9" s="22">
        <f>TRUNC([APLICAÇÃO] * 2  * SETUP!$A$3, 2)</f>
        <v>1.05</v>
      </c>
      <c r="P9" s="22">
        <f>TRUNC([APLICAÇÃO] * 2  * SETUP!$B$3, 2)</f>
        <v>0.78</v>
      </c>
      <c r="Q9" s="22">
        <f>TRUNC([APLICAÇÃO] * 2  * SETUP!$C$3, 2)</f>
        <v>1.98</v>
      </c>
      <c r="R9" s="22">
        <f>TRUNC(SETUP!$G$3  * SETUP!$H$3, 2)</f>
        <v>0.28999999999999998</v>
      </c>
      <c r="S9" s="22">
        <f>ROUND(SETUP!$G$3 * SETUP!$I$3, 2)</f>
        <v>0.57999999999999996</v>
      </c>
      <c r="T9" s="22">
        <f>SETUP!$G$3 + SUM(Tabela13[[#This Row],[EMOL VD]]:Tabela13[[#This Row],[OUTRAS VD]])</f>
        <v>19.579999999999998</v>
      </c>
      <c r="U9" s="22">
        <f>((([APLICAÇÃO] * 2) - [TAXA VD]) - ([APLICAÇÃO] + [TAXA CP])) * 0.85</f>
        <v>1180.0974999999999</v>
      </c>
      <c r="V9" s="22">
        <f>IF([LUCRO] &lt; 0, 0, ROUND([LUCRO]*80%, 2))</f>
        <v>944.08</v>
      </c>
      <c r="W9" s="22">
        <f>[LUCRO]-[PROTEÇÃO MÊS]</f>
        <v>236.01999999999987</v>
      </c>
      <c r="X9" s="51">
        <f>SUMPRODUCT(N([TRADE] &lt;= Tabela13[[#This Row],[TRADE]]), [PROTEÇÃO MÊS]) - [APORTE RF]</f>
        <v>3846.54</v>
      </c>
      <c r="Y9" s="22">
        <f>[TOT RF] + [REINVESTIR] + [APLICAÇÃO]</f>
        <v>5508.16</v>
      </c>
      <c r="Z9" s="24">
        <f>IF(AND([PROTEÇÃO MÊS] &gt; 0, ([TOT RF] - [PROTEÇÃO MÊS]) &gt; 0), [PROTEÇÃO MÊS] / ([TOT RF] - [PROTEÇÃO MÊS]), 0)</f>
        <v>0.325268909821324</v>
      </c>
    </row>
    <row r="10" spans="1:26">
      <c r="A10" s="29">
        <v>9</v>
      </c>
      <c r="B10" s="26">
        <v>41244</v>
      </c>
      <c r="C10" s="30">
        <v>0</v>
      </c>
      <c r="D10" s="30">
        <v>0</v>
      </c>
      <c r="E10" s="21">
        <v>1464.58</v>
      </c>
      <c r="F10" s="3">
        <v>100</v>
      </c>
      <c r="G10" s="22">
        <f>SUMPRODUCT(N([TRADE] &lt;= Tabela13[[#This Row],[TRADE]]), [APORTE]) + SUMPRODUCT(N([TRADE] &lt;= Tabela13[[#This Row],[TRADE]]), [APORTE RF])</f>
        <v>800</v>
      </c>
      <c r="H10" s="22">
        <f>[MONTANTE] - SUMPRODUCT(N([TRADE] &lt;= Tabela13[[#This Row],[TRADE]]), [SAQUE]) + SUMPRODUCT(N([TRADE] &lt; Tabela13[[#This Row],[TRADE]]), [REINVESTIR])</f>
        <v>1761.62</v>
      </c>
      <c r="I10" s="22">
        <f>TRUNC([APLICAÇÃO]  * SETUP!$A$3, 2)</f>
        <v>0.65</v>
      </c>
      <c r="J10" s="22">
        <f>TRUNC([APLICAÇÃO]  * SETUP!$B$3, 2)</f>
        <v>0.48</v>
      </c>
      <c r="K10" s="22">
        <f>TRUNC([APLICAÇÃO]  * SETUP!$C$3, 2)</f>
        <v>1.22</v>
      </c>
      <c r="L10" s="22">
        <f>TRUNC(SETUP!$G$3  * SETUP!$H$3, 2)</f>
        <v>0.28999999999999998</v>
      </c>
      <c r="M10" s="22">
        <f>ROUND(SETUP!$G$3 * SETUP!$I$3, 2)</f>
        <v>0.57999999999999996</v>
      </c>
      <c r="N10" s="22">
        <f>SETUP!$G$3 + SUM(Tabela13[[#This Row],[EMOL CP]]:Tabela13[[#This Row],[OUTRAS CP]])</f>
        <v>18.12</v>
      </c>
      <c r="O10" s="22">
        <f>TRUNC([APLICAÇÃO] * 2  * SETUP!$A$3, 2)</f>
        <v>1.3</v>
      </c>
      <c r="P10" s="22">
        <f>TRUNC([APLICAÇÃO] * 2  * SETUP!$B$3, 2)</f>
        <v>0.96</v>
      </c>
      <c r="Q10" s="22">
        <f>TRUNC([APLICAÇÃO] * 2  * SETUP!$C$3, 2)</f>
        <v>2.44</v>
      </c>
      <c r="R10" s="22">
        <f>TRUNC(SETUP!$G$3  * SETUP!$H$3, 2)</f>
        <v>0.28999999999999998</v>
      </c>
      <c r="S10" s="22">
        <f>ROUND(SETUP!$G$3 * SETUP!$I$3, 2)</f>
        <v>0.57999999999999996</v>
      </c>
      <c r="T10" s="22">
        <f>SETUP!$G$3 + SUM(Tabela13[[#This Row],[EMOL VD]]:Tabela13[[#This Row],[OUTRAS VD]])</f>
        <v>20.47</v>
      </c>
      <c r="U10" s="22">
        <f>((([APLICAÇÃO] * 2) - [TAXA VD]) - ([APLICAÇÃO] + [TAXA CP])) * 0.85</f>
        <v>1464.5755000000001</v>
      </c>
      <c r="V10" s="22">
        <f>IF([LUCRO] &lt; 0, 0, ROUND([LUCRO]*80%, 2))</f>
        <v>1171.6600000000001</v>
      </c>
      <c r="W10" s="22">
        <f>[LUCRO]-[PROTEÇÃO MÊS]</f>
        <v>292.91999999999985</v>
      </c>
      <c r="X10" s="51">
        <f>SUMPRODUCT(N([TRADE] &lt;= Tabela13[[#This Row],[TRADE]]), [PROTEÇÃO MÊS]) - [APORTE RF]</f>
        <v>5018.2</v>
      </c>
      <c r="Y10" s="22">
        <f>[TOT RF] + [REINVESTIR] + [APLICAÇÃO]</f>
        <v>7072.74</v>
      </c>
      <c r="Z10" s="24">
        <f>IF(AND([PROTEÇÃO MÊS] &gt; 0, ([TOT RF] - [PROTEÇÃO MÊS]) &gt; 0), [PROTEÇÃO MÊS] / ([TOT RF] - [PROTEÇÃO MÊS]), 0)</f>
        <v>0.304601018057787</v>
      </c>
    </row>
    <row r="11" spans="1:26">
      <c r="A11" s="1">
        <v>10</v>
      </c>
      <c r="B11" s="26">
        <v>41275</v>
      </c>
      <c r="C11" s="3"/>
      <c r="D11" s="3"/>
      <c r="E11" s="3">
        <v>1797.21</v>
      </c>
      <c r="F11" s="3">
        <v>100</v>
      </c>
      <c r="G11" s="6">
        <f>SUMPRODUCT(N([TRADE] &lt;= Tabela13[[#This Row],[TRADE]]), [APORTE]) + SUMPRODUCT(N([TRADE] &lt;= Tabela13[[#This Row],[TRADE]]), [APORTE RF])</f>
        <v>900</v>
      </c>
      <c r="H11" s="6">
        <f>[MONTANTE] - SUMPRODUCT(N([TRADE] &lt;= Tabela13[[#This Row],[TRADE]]), [SAQUE]) + SUMPRODUCT(N([TRADE] &lt; Tabela13[[#This Row],[TRADE]]), [REINVESTIR])</f>
        <v>2154.54</v>
      </c>
      <c r="I11" s="6">
        <f>TRUNC([APLICAÇÃO]  * SETUP!$A$3, 2)</f>
        <v>0.79</v>
      </c>
      <c r="J11" s="6">
        <f>TRUNC([APLICAÇÃO]  * SETUP!$B$3, 2)</f>
        <v>0.59</v>
      </c>
      <c r="K11" s="6">
        <f>TRUNC([APLICAÇÃO]  * SETUP!$C$3, 2)</f>
        <v>1.49</v>
      </c>
      <c r="L11" s="6">
        <f>TRUNC(SETUP!$G$3  * SETUP!$H$3, 2)</f>
        <v>0.28999999999999998</v>
      </c>
      <c r="M11" s="6">
        <f>ROUND(SETUP!$G$3 * SETUP!$I$3, 2)</f>
        <v>0.57999999999999996</v>
      </c>
      <c r="N11" s="6">
        <f>SETUP!$G$3 + SUM(Tabela13[[#This Row],[EMOL CP]]:Tabela13[[#This Row],[OUTRAS CP]])</f>
        <v>18.64</v>
      </c>
      <c r="O11" s="6">
        <f>TRUNC([APLICAÇÃO] * 2  * SETUP!$A$3, 2)</f>
        <v>1.59</v>
      </c>
      <c r="P11" s="6">
        <f>TRUNC([APLICAÇÃO] * 2  * SETUP!$B$3, 2)</f>
        <v>1.18</v>
      </c>
      <c r="Q11" s="6">
        <f>TRUNC([APLICAÇÃO] * 2  * SETUP!$C$3, 2)</f>
        <v>2.99</v>
      </c>
      <c r="R11" s="6">
        <f>TRUNC(SETUP!$G$3  * SETUP!$H$3, 2)</f>
        <v>0.28999999999999998</v>
      </c>
      <c r="S11" s="6">
        <f>ROUND(SETUP!$G$3 * SETUP!$I$3, 2)</f>
        <v>0.57999999999999996</v>
      </c>
      <c r="T11" s="6">
        <f>SETUP!$G$3 + SUM(Tabela13[[#This Row],[EMOL VD]]:Tabela13[[#This Row],[OUTRAS VD]])</f>
        <v>21.53</v>
      </c>
      <c r="U11" s="6">
        <f>((([APLICAÇÃO] * 2) - [TAXA VD]) - ([APLICAÇÃO] + [TAXA CP])) * 0.85</f>
        <v>1797.2145000000003</v>
      </c>
      <c r="V11" s="6">
        <f>IF([LUCRO] &lt; 0, 0, ROUND([LUCRO]*80%, 2))</f>
        <v>1437.77</v>
      </c>
      <c r="W11" s="6">
        <f>[LUCRO]-[PROTEÇÃO MÊS]</f>
        <v>359.44000000000005</v>
      </c>
      <c r="X11" s="50">
        <f>SUMPRODUCT(N([TRADE] &lt;= Tabela13[[#This Row],[TRADE]]), [PROTEÇÃO MÊS]) - [APORTE RF]</f>
        <v>6455.9699999999993</v>
      </c>
      <c r="Y11" s="6">
        <f>[TOT RF] + [REINVESTIR] + [APLICAÇÃO]</f>
        <v>8969.9500000000007</v>
      </c>
      <c r="Z11" s="4">
        <f>IF(AND([PROTEÇÃO MÊS] &gt; 0, ([TOT RF] - [PROTEÇÃO MÊS]) &gt; 0), [PROTEÇÃO MÊS] / ([TOT RF] - [PROTEÇÃO MÊS]), 0)</f>
        <v>0.28651109959746529</v>
      </c>
    </row>
    <row r="12" spans="1:26">
      <c r="A12" s="29">
        <v>11</v>
      </c>
      <c r="B12" s="26">
        <v>41306</v>
      </c>
      <c r="C12" s="3"/>
      <c r="D12" s="3"/>
      <c r="E12" s="3">
        <v>2186.17</v>
      </c>
      <c r="F12" s="3">
        <v>100</v>
      </c>
      <c r="G12" s="6">
        <f>SUMPRODUCT(N([TRADE] &lt;= Tabela13[[#This Row],[TRADE]]), [APORTE]) + SUMPRODUCT(N([TRADE] &lt;= Tabela13[[#This Row],[TRADE]]), [APORTE RF])</f>
        <v>1000</v>
      </c>
      <c r="H12" s="6">
        <f>[MONTANTE] - SUMPRODUCT(N([TRADE] &lt;= Tabela13[[#This Row],[TRADE]]), [SAQUE]) + SUMPRODUCT(N([TRADE] &lt; Tabela13[[#This Row],[TRADE]]), [REINVESTIR])</f>
        <v>2613.9799999999996</v>
      </c>
      <c r="I12" s="6">
        <f>TRUNC([APLICAÇÃO]  * SETUP!$A$3, 2)</f>
        <v>0.96</v>
      </c>
      <c r="J12" s="6">
        <f>TRUNC([APLICAÇÃO]  * SETUP!$B$3, 2)</f>
        <v>0.71</v>
      </c>
      <c r="K12" s="6">
        <f>TRUNC([APLICAÇÃO]  * SETUP!$C$3, 2)</f>
        <v>1.81</v>
      </c>
      <c r="L12" s="6">
        <f>TRUNC(SETUP!$G$3  * SETUP!$H$3, 2)</f>
        <v>0.28999999999999998</v>
      </c>
      <c r="M12" s="6">
        <f>ROUND(SETUP!$G$3 * SETUP!$I$3, 2)</f>
        <v>0.57999999999999996</v>
      </c>
      <c r="N12" s="6">
        <f>SETUP!$G$3 + SUM(Tabela13[[#This Row],[EMOL CP]]:Tabela13[[#This Row],[OUTRAS CP]])</f>
        <v>19.25</v>
      </c>
      <c r="O12" s="6">
        <f>TRUNC([APLICAÇÃO] * 2  * SETUP!$A$3, 2)</f>
        <v>1.93</v>
      </c>
      <c r="P12" s="6">
        <f>TRUNC([APLICAÇÃO] * 2  * SETUP!$B$3, 2)</f>
        <v>1.43</v>
      </c>
      <c r="Q12" s="6">
        <f>TRUNC([APLICAÇÃO] * 2  * SETUP!$C$3, 2)</f>
        <v>3.63</v>
      </c>
      <c r="R12" s="6">
        <f>TRUNC(SETUP!$G$3  * SETUP!$H$3, 2)</f>
        <v>0.28999999999999998</v>
      </c>
      <c r="S12" s="6">
        <f>ROUND(SETUP!$G$3 * SETUP!$I$3, 2)</f>
        <v>0.57999999999999996</v>
      </c>
      <c r="T12" s="6">
        <f>SETUP!$G$3 + SUM(Tabela13[[#This Row],[EMOL VD]]:Tabela13[[#This Row],[OUTRAS VD]])</f>
        <v>22.76</v>
      </c>
      <c r="U12" s="6">
        <f>((([APLICAÇÃO] * 2) - [TAXA VD]) - ([APLICAÇÃO] + [TAXA CP])) * 0.85</f>
        <v>2186.1744999999992</v>
      </c>
      <c r="V12" s="6">
        <f>IF([LUCRO] &lt; 0, 0, ROUND([LUCRO]*80%, 2))</f>
        <v>1748.94</v>
      </c>
      <c r="W12" s="6">
        <f>[LUCRO]-[PROTEÇÃO MÊS]</f>
        <v>437.23</v>
      </c>
      <c r="X12" s="50">
        <f>SUMPRODUCT(N([TRADE] &lt;= Tabela13[[#This Row],[TRADE]]), [PROTEÇÃO MÊS]) - [APORTE RF]</f>
        <v>8204.91</v>
      </c>
      <c r="Y12" s="6">
        <f>[TOT RF] + [REINVESTIR] + [APLICAÇÃO]</f>
        <v>11256.119999999999</v>
      </c>
      <c r="Z12" s="4">
        <f>IF(AND([PROTEÇÃO MÊS] &gt; 0, ([TOT RF] - [PROTEÇÃO MÊS]) &gt; 0), [PROTEÇÃO MÊS] / ([TOT RF] - [PROTEÇÃO MÊS]), 0)</f>
        <v>0.27090274583060336</v>
      </c>
    </row>
    <row r="13" spans="1:26">
      <c r="A13" s="1">
        <v>12</v>
      </c>
      <c r="B13" s="26">
        <v>41334</v>
      </c>
      <c r="C13" s="3"/>
      <c r="D13" s="3"/>
      <c r="E13" s="3">
        <v>2640.97</v>
      </c>
      <c r="F13" s="3">
        <v>100</v>
      </c>
      <c r="G13" s="6">
        <f>SUMPRODUCT(N([TRADE] &lt;= Tabela13[[#This Row],[TRADE]]), [APORTE]) + SUMPRODUCT(N([TRADE] &lt;= Tabela13[[#This Row],[TRADE]]), [APORTE RF])</f>
        <v>1100</v>
      </c>
      <c r="H13" s="6">
        <f>[MONTANTE] - SUMPRODUCT(N([TRADE] &lt;= Tabela13[[#This Row],[TRADE]]), [SAQUE]) + SUMPRODUCT(N([TRADE] &lt; Tabela13[[#This Row],[TRADE]]), [REINVESTIR])</f>
        <v>3151.21</v>
      </c>
      <c r="I13" s="6">
        <f>TRUNC([APLICAÇÃO]  * SETUP!$A$3, 2)</f>
        <v>1.1599999999999999</v>
      </c>
      <c r="J13" s="6">
        <f>TRUNC([APLICAÇÃO]  * SETUP!$B$3, 2)</f>
        <v>0.86</v>
      </c>
      <c r="K13" s="6">
        <f>TRUNC([APLICAÇÃO]  * SETUP!$C$3, 2)</f>
        <v>2.19</v>
      </c>
      <c r="L13" s="6">
        <f>TRUNC(SETUP!$G$3  * SETUP!$H$3, 2)</f>
        <v>0.28999999999999998</v>
      </c>
      <c r="M13" s="6">
        <f>ROUND(SETUP!$G$3 * SETUP!$I$3, 2)</f>
        <v>0.57999999999999996</v>
      </c>
      <c r="N13" s="6">
        <f>SETUP!$G$3 + SUM(Tabela13[[#This Row],[EMOL CP]]:Tabela13[[#This Row],[OUTRAS CP]])</f>
        <v>19.98</v>
      </c>
      <c r="O13" s="6">
        <f>TRUNC([APLICAÇÃO] * 2  * SETUP!$A$3, 2)</f>
        <v>2.33</v>
      </c>
      <c r="P13" s="6">
        <f>TRUNC([APLICAÇÃO] * 2  * SETUP!$B$3, 2)</f>
        <v>1.73</v>
      </c>
      <c r="Q13" s="6">
        <f>TRUNC([APLICAÇÃO] * 2  * SETUP!$C$3, 2)</f>
        <v>4.38</v>
      </c>
      <c r="R13" s="6">
        <f>TRUNC(SETUP!$G$3  * SETUP!$H$3, 2)</f>
        <v>0.28999999999999998</v>
      </c>
      <c r="S13" s="6">
        <f>ROUND(SETUP!$G$3 * SETUP!$I$3, 2)</f>
        <v>0.57999999999999996</v>
      </c>
      <c r="T13" s="6">
        <f>SETUP!$G$3 + SUM(Tabela13[[#This Row],[EMOL VD]]:Tabela13[[#This Row],[OUTRAS VD]])</f>
        <v>24.21</v>
      </c>
      <c r="U13" s="6">
        <f>((([APLICAÇÃO] * 2) - [TAXA VD]) - ([APLICAÇÃO] + [TAXA CP])) * 0.85</f>
        <v>2640.9670000000001</v>
      </c>
      <c r="V13" s="6">
        <f>IF([LUCRO] &lt; 0, 0, ROUND([LUCRO]*80%, 2))</f>
        <v>2112.7800000000002</v>
      </c>
      <c r="W13" s="6">
        <f>[LUCRO]-[PROTEÇÃO MÊS]</f>
        <v>528.1899999999996</v>
      </c>
      <c r="X13" s="50">
        <f>SUMPRODUCT(N([TRADE] &lt;= Tabela13[[#This Row],[TRADE]]), [PROTEÇÃO MÊS]) - [APORTE RF]</f>
        <v>10317.69</v>
      </c>
      <c r="Y13" s="6">
        <f>[TOT RF] + [REINVESTIR] + [APLICAÇÃO]</f>
        <v>13997.09</v>
      </c>
      <c r="Z13" s="4">
        <f>IF(AND([PROTEÇÃO MÊS] &gt; 0, ([TOT RF] - [PROTEÇÃO MÊS]) &gt; 0), [PROTEÇÃO MÊS] / ([TOT RF] - [PROTEÇÃO MÊS]), 0)</f>
        <v>0.25750191044143084</v>
      </c>
    </row>
    <row r="14" spans="1:26">
      <c r="A14" s="29">
        <v>13</v>
      </c>
      <c r="B14" s="26">
        <v>41365</v>
      </c>
      <c r="C14" s="3"/>
      <c r="D14" s="3"/>
      <c r="E14" s="3">
        <v>3172.8</v>
      </c>
      <c r="F14" s="3">
        <v>100</v>
      </c>
      <c r="G14" s="6">
        <f>SUMPRODUCT(N([TRADE] &lt;= Tabela13[[#This Row],[TRADE]]), [APORTE]) + SUMPRODUCT(N([TRADE] &lt;= Tabela13[[#This Row],[TRADE]]), [APORTE RF])</f>
        <v>1200</v>
      </c>
      <c r="H14" s="6">
        <f>[MONTANTE] - SUMPRODUCT(N([TRADE] &lt;= Tabela13[[#This Row],[TRADE]]), [SAQUE]) + SUMPRODUCT(N([TRADE] &lt; Tabela13[[#This Row],[TRADE]]), [REINVESTIR])</f>
        <v>3779.3999999999996</v>
      </c>
      <c r="I14" s="6">
        <f>TRUNC([APLICAÇÃO]  * SETUP!$A$3, 2)</f>
        <v>1.39</v>
      </c>
      <c r="J14" s="6">
        <f>TRUNC([APLICAÇÃO]  * SETUP!$B$3, 2)</f>
        <v>1.03</v>
      </c>
      <c r="K14" s="6">
        <f>TRUNC([APLICAÇÃO]  * SETUP!$C$3, 2)</f>
        <v>2.62</v>
      </c>
      <c r="L14" s="6">
        <f>TRUNC(SETUP!$G$3  * SETUP!$H$3, 2)</f>
        <v>0.28999999999999998</v>
      </c>
      <c r="M14" s="6">
        <f>ROUND(SETUP!$G$3 * SETUP!$I$3, 2)</f>
        <v>0.57999999999999996</v>
      </c>
      <c r="N14" s="6">
        <f>SETUP!$G$3 + SUM(Tabela13[[#This Row],[EMOL CP]]:Tabela13[[#This Row],[OUTRAS CP]])</f>
        <v>20.810000000000002</v>
      </c>
      <c r="O14" s="6">
        <f>TRUNC([APLICAÇÃO] * 2  * SETUP!$A$3, 2)</f>
        <v>2.79</v>
      </c>
      <c r="P14" s="6">
        <f>TRUNC([APLICAÇÃO] * 2  * SETUP!$B$3, 2)</f>
        <v>2.0699999999999998</v>
      </c>
      <c r="Q14" s="6">
        <f>TRUNC([APLICAÇÃO] * 2  * SETUP!$C$3, 2)</f>
        <v>5.25</v>
      </c>
      <c r="R14" s="6">
        <f>TRUNC(SETUP!$G$3  * SETUP!$H$3, 2)</f>
        <v>0.28999999999999998</v>
      </c>
      <c r="S14" s="6">
        <f>ROUND(SETUP!$G$3 * SETUP!$I$3, 2)</f>
        <v>0.57999999999999996</v>
      </c>
      <c r="T14" s="6">
        <f>SETUP!$G$3 + SUM(Tabela13[[#This Row],[EMOL VD]]:Tabela13[[#This Row],[OUTRAS VD]])</f>
        <v>25.88</v>
      </c>
      <c r="U14" s="6">
        <f>((([APLICAÇÃO] * 2) - [TAXA VD]) - ([APLICAÇÃO] + [TAXA CP])) * 0.85</f>
        <v>3172.8034999999995</v>
      </c>
      <c r="V14" s="6">
        <f>IF([LUCRO] &lt; 0, 0, ROUND([LUCRO]*80%, 2))</f>
        <v>2538.2399999999998</v>
      </c>
      <c r="W14" s="6">
        <f>[LUCRO]-[PROTEÇÃO MÊS]</f>
        <v>634.5600000000004</v>
      </c>
      <c r="X14" s="50">
        <f>SUMPRODUCT(N([TRADE] &lt;= Tabela13[[#This Row],[TRADE]]), [PROTEÇÃO MÊS]) - [APORTE RF]</f>
        <v>12855.93</v>
      </c>
      <c r="Y14" s="6">
        <f>[TOT RF] + [REINVESTIR] + [APLICAÇÃO]</f>
        <v>17269.89</v>
      </c>
      <c r="Z14" s="4">
        <f>IF(AND([PROTEÇÃO MÊS] &gt; 0, ([TOT RF] - [PROTEÇÃO MÊS]) &gt; 0), [PROTEÇÃO MÊS] / ([TOT RF] - [PROTEÇÃO MÊS]), 0)</f>
        <v>0.24600855424033866</v>
      </c>
    </row>
    <row r="15" spans="1:26">
      <c r="A15" s="1">
        <v>14</v>
      </c>
      <c r="B15" s="26">
        <v>41395</v>
      </c>
      <c r="C15" s="3"/>
      <c r="D15" s="3"/>
      <c r="E15" s="3">
        <v>3794.65</v>
      </c>
      <c r="F15" s="3">
        <v>100</v>
      </c>
      <c r="G15" s="6">
        <f>SUMPRODUCT(N([TRADE] &lt;= Tabela13[[#This Row],[TRADE]]), [APORTE]) + SUMPRODUCT(N([TRADE] &lt;= Tabela13[[#This Row],[TRADE]]), [APORTE RF])</f>
        <v>1300</v>
      </c>
      <c r="H15" s="6">
        <f>[MONTANTE] - SUMPRODUCT(N([TRADE] &lt;= Tabela13[[#This Row],[TRADE]]), [SAQUE]) + SUMPRODUCT(N([TRADE] &lt; Tabela13[[#This Row],[TRADE]]), [REINVESTIR])</f>
        <v>4513.96</v>
      </c>
      <c r="I15" s="6">
        <f>TRUNC([APLICAÇÃO]  * SETUP!$A$3, 2)</f>
        <v>1.67</v>
      </c>
      <c r="J15" s="6">
        <f>TRUNC([APLICAÇÃO]  * SETUP!$B$3, 2)</f>
        <v>1.24</v>
      </c>
      <c r="K15" s="6">
        <f>TRUNC([APLICAÇÃO]  * SETUP!$C$3, 2)</f>
        <v>3.13</v>
      </c>
      <c r="L15" s="6">
        <f>TRUNC(SETUP!$G$3  * SETUP!$H$3, 2)</f>
        <v>0.28999999999999998</v>
      </c>
      <c r="M15" s="6">
        <f>ROUND(SETUP!$G$3 * SETUP!$I$3, 2)</f>
        <v>0.57999999999999996</v>
      </c>
      <c r="N15" s="6">
        <f>SETUP!$G$3 + SUM(Tabela13[[#This Row],[EMOL CP]]:Tabela13[[#This Row],[OUTRAS CP]])</f>
        <v>21.810000000000002</v>
      </c>
      <c r="O15" s="6">
        <f>TRUNC([APLICAÇÃO] * 2  * SETUP!$A$3, 2)</f>
        <v>3.34</v>
      </c>
      <c r="P15" s="6">
        <f>TRUNC([APLICAÇÃO] * 2  * SETUP!$B$3, 2)</f>
        <v>2.48</v>
      </c>
      <c r="Q15" s="6">
        <f>TRUNC([APLICAÇÃO] * 2  * SETUP!$C$3, 2)</f>
        <v>6.27</v>
      </c>
      <c r="R15" s="6">
        <f>TRUNC(SETUP!$G$3  * SETUP!$H$3, 2)</f>
        <v>0.28999999999999998</v>
      </c>
      <c r="S15" s="6">
        <f>ROUND(SETUP!$G$3 * SETUP!$I$3, 2)</f>
        <v>0.57999999999999996</v>
      </c>
      <c r="T15" s="6">
        <f>SETUP!$G$3 + SUM(Tabela13[[#This Row],[EMOL VD]]:Tabela13[[#This Row],[OUTRAS VD]])</f>
        <v>27.86</v>
      </c>
      <c r="U15" s="6">
        <f>((([APLICAÇÃO] * 2) - [TAXA VD]) - ([APLICAÇÃO] + [TAXA CP])) * 0.85</f>
        <v>3794.6464999999989</v>
      </c>
      <c r="V15" s="6">
        <f>IF([LUCRO] &lt; 0, 0, ROUND([LUCRO]*80%, 2))</f>
        <v>3035.72</v>
      </c>
      <c r="W15" s="6">
        <f>[LUCRO]-[PROTEÇÃO MÊS]</f>
        <v>758.93000000000029</v>
      </c>
      <c r="X15" s="50">
        <f>SUMPRODUCT(N([TRADE] &lt;= Tabela13[[#This Row],[TRADE]]), [PROTEÇÃO MÊS]) - [APORTE RF]</f>
        <v>15891.65</v>
      </c>
      <c r="Y15" s="6">
        <f>[TOT RF] + [REINVESTIR] + [APLICAÇÃO]</f>
        <v>21164.54</v>
      </c>
      <c r="Z15" s="4">
        <f>IF(AND([PROTEÇÃO MÊS] &gt; 0, ([TOT RF] - [PROTEÇÃO MÊS]) &gt; 0), [PROTEÇÃO MÊS] / ([TOT RF] - [PROTEÇÃO MÊS]), 0)</f>
        <v>0.2361338308469321</v>
      </c>
    </row>
    <row r="16" spans="1:26">
      <c r="A16" s="29">
        <v>15</v>
      </c>
      <c r="B16" s="26">
        <v>41426</v>
      </c>
      <c r="C16" s="21"/>
      <c r="D16" s="21"/>
      <c r="E16" s="21">
        <v>4521.82</v>
      </c>
      <c r="F16" s="3">
        <v>100</v>
      </c>
      <c r="G16" s="22">
        <f>SUMPRODUCT(N([TRADE] &lt;= Tabela13[[#This Row],[TRADE]]), [APORTE]) + SUMPRODUCT(N([TRADE] &lt;= Tabela13[[#This Row],[TRADE]]), [APORTE RF])</f>
        <v>1400</v>
      </c>
      <c r="H16" s="22">
        <f>[MONTANTE] - SUMPRODUCT(N([TRADE] &lt;= Tabela13[[#This Row],[TRADE]]), [SAQUE]) + SUMPRODUCT(N([TRADE] &lt; Tabela13[[#This Row],[TRADE]]), [REINVESTIR])</f>
        <v>5372.89</v>
      </c>
      <c r="I16" s="22">
        <f>TRUNC([APLICAÇÃO]  * SETUP!$A$3, 2)</f>
        <v>1.98</v>
      </c>
      <c r="J16" s="22">
        <f>TRUNC([APLICAÇÃO]  * SETUP!$B$3, 2)</f>
        <v>1.47</v>
      </c>
      <c r="K16" s="22">
        <f>TRUNC([APLICAÇÃO]  * SETUP!$C$3, 2)</f>
        <v>3.73</v>
      </c>
      <c r="L16" s="22">
        <f>TRUNC(SETUP!$G$3  * SETUP!$H$3, 2)</f>
        <v>0.28999999999999998</v>
      </c>
      <c r="M16" s="22">
        <f>ROUND(SETUP!$G$3 * SETUP!$I$3, 2)</f>
        <v>0.57999999999999996</v>
      </c>
      <c r="N16" s="22">
        <f>SETUP!$G$3 + SUM(Tabela13[[#This Row],[EMOL CP]]:Tabela13[[#This Row],[OUTRAS CP]])</f>
        <v>22.95</v>
      </c>
      <c r="O16" s="22">
        <f>TRUNC([APLICAÇÃO] * 2  * SETUP!$A$3, 2)</f>
        <v>3.97</v>
      </c>
      <c r="P16" s="22">
        <f>TRUNC([APLICAÇÃO] * 2  * SETUP!$B$3, 2)</f>
        <v>2.95</v>
      </c>
      <c r="Q16" s="22">
        <f>TRUNC([APLICAÇÃO] * 2  * SETUP!$C$3, 2)</f>
        <v>7.46</v>
      </c>
      <c r="R16" s="22">
        <f>TRUNC(SETUP!$G$3  * SETUP!$H$3, 2)</f>
        <v>0.28999999999999998</v>
      </c>
      <c r="S16" s="22">
        <f>ROUND(SETUP!$G$3 * SETUP!$I$3, 2)</f>
        <v>0.57999999999999996</v>
      </c>
      <c r="T16" s="22">
        <f>SETUP!$G$3 + SUM(Tabela13[[#This Row],[EMOL VD]]:Tabela13[[#This Row],[OUTRAS VD]])</f>
        <v>30.15</v>
      </c>
      <c r="U16" s="22">
        <f>((([APLICAÇÃO] * 2) - [TAXA VD]) - ([APLICAÇÃO] + [TAXA CP])) * 0.85</f>
        <v>4521.8215000000009</v>
      </c>
      <c r="V16" s="22">
        <f>IF([LUCRO] &lt; 0, 0, ROUND([LUCRO]*80%, 2))</f>
        <v>3617.46</v>
      </c>
      <c r="W16" s="22">
        <f>[LUCRO]-[PROTEÇÃO MÊS]</f>
        <v>904.35999999999967</v>
      </c>
      <c r="X16" s="51">
        <f>SUMPRODUCT(N([TRADE] &lt;= Tabela13[[#This Row],[TRADE]]), [PROTEÇÃO MÊS]) - [APORTE RF]</f>
        <v>19509.11</v>
      </c>
      <c r="Y16" s="22">
        <f>[TOT RF] + [REINVESTIR] + [APLICAÇÃO]</f>
        <v>25786.36</v>
      </c>
      <c r="Z16" s="24">
        <f>IF(AND([PROTEÇÃO MÊS] &gt; 0, ([TOT RF] - [PROTEÇÃO MÊS]) &gt; 0), [PROTEÇÃO MÊS] / ([TOT RF] - [PROTEÇÃO MÊS]), 0)</f>
        <v>0.22763275053251233</v>
      </c>
    </row>
    <row r="17" spans="1:26">
      <c r="A17" s="1">
        <v>16</v>
      </c>
      <c r="B17" s="26">
        <v>41456</v>
      </c>
      <c r="C17" s="3"/>
      <c r="D17" s="3"/>
      <c r="E17" s="3">
        <v>5372.09</v>
      </c>
      <c r="F17" s="3">
        <v>100</v>
      </c>
      <c r="G17" s="6">
        <f>SUMPRODUCT(N([TRADE] &lt;= Tabela13[[#This Row],[TRADE]]), [APORTE]) + SUMPRODUCT(N([TRADE] &lt;= Tabela13[[#This Row],[TRADE]]), [APORTE RF])</f>
        <v>1500</v>
      </c>
      <c r="H17" s="6">
        <f>[MONTANTE] - SUMPRODUCT(N([TRADE] &lt;= Tabela13[[#This Row],[TRADE]]), [SAQUE]) + SUMPRODUCT(N([TRADE] &lt; Tabela13[[#This Row],[TRADE]]), [REINVESTIR])</f>
        <v>6377.25</v>
      </c>
      <c r="I17" s="6">
        <f>TRUNC([APLICAÇÃO]  * SETUP!$A$3, 2)</f>
        <v>2.35</v>
      </c>
      <c r="J17" s="6">
        <f>TRUNC([APLICAÇÃO]  * SETUP!$B$3, 2)</f>
        <v>1.75</v>
      </c>
      <c r="K17" s="6">
        <f>TRUNC([APLICAÇÃO]  * SETUP!$C$3, 2)</f>
        <v>4.43</v>
      </c>
      <c r="L17" s="6">
        <f>TRUNC(SETUP!$G$3  * SETUP!$H$3, 2)</f>
        <v>0.28999999999999998</v>
      </c>
      <c r="M17" s="6">
        <f>ROUND(SETUP!$G$3 * SETUP!$I$3, 2)</f>
        <v>0.57999999999999996</v>
      </c>
      <c r="N17" s="6">
        <f>SETUP!$G$3 + SUM(Tabela13[[#This Row],[EMOL CP]]:Tabela13[[#This Row],[OUTRAS CP]])</f>
        <v>24.299999999999997</v>
      </c>
      <c r="O17" s="6">
        <f>TRUNC([APLICAÇÃO] * 2  * SETUP!$A$3, 2)</f>
        <v>4.71</v>
      </c>
      <c r="P17" s="6">
        <f>TRUNC([APLICAÇÃO] * 2  * SETUP!$B$3, 2)</f>
        <v>3.5</v>
      </c>
      <c r="Q17" s="6">
        <f>TRUNC([APLICAÇÃO] * 2  * SETUP!$C$3, 2)</f>
        <v>8.86</v>
      </c>
      <c r="R17" s="6">
        <f>TRUNC(SETUP!$G$3  * SETUP!$H$3, 2)</f>
        <v>0.28999999999999998</v>
      </c>
      <c r="S17" s="6">
        <f>ROUND(SETUP!$G$3 * SETUP!$I$3, 2)</f>
        <v>0.57999999999999996</v>
      </c>
      <c r="T17" s="6">
        <f>SETUP!$G$3 + SUM(Tabela13[[#This Row],[EMOL VD]]:Tabela13[[#This Row],[OUTRAS VD]])</f>
        <v>32.839999999999996</v>
      </c>
      <c r="U17" s="6">
        <f>((([APLICAÇÃO] * 2) - [TAXA VD]) - ([APLICAÇÃO] + [TAXA CP])) * 0.85</f>
        <v>5372.0934999999999</v>
      </c>
      <c r="V17" s="6">
        <f>IF([LUCRO] &lt; 0, 0, ROUND([LUCRO]*80%, 2))</f>
        <v>4297.67</v>
      </c>
      <c r="W17" s="6">
        <f>[LUCRO]-[PROTEÇÃO MÊS]</f>
        <v>1074.42</v>
      </c>
      <c r="X17" s="50">
        <f>SUMPRODUCT(N([TRADE] &lt;= Tabela13[[#This Row],[TRADE]]), [PROTEÇÃO MÊS]) - [APORTE RF]</f>
        <v>23806.78</v>
      </c>
      <c r="Y17" s="6">
        <f>[TOT RF] + [REINVESTIR] + [APLICAÇÃO]</f>
        <v>31258.449999999997</v>
      </c>
      <c r="Z17" s="4">
        <f>IF(AND([PROTEÇÃO MÊS] &gt; 0, ([TOT RF] - [PROTEÇÃO MÊS]) &gt; 0), [PROTEÇÃO MÊS] / ([TOT RF] - [PROTEÇÃO MÊS]), 0)</f>
        <v>0.2202904181687427</v>
      </c>
    </row>
    <row r="18" spans="1:26">
      <c r="A18" s="29">
        <v>17</v>
      </c>
      <c r="B18" s="26">
        <v>41487</v>
      </c>
      <c r="C18" s="3"/>
      <c r="D18" s="3"/>
      <c r="E18" s="3">
        <v>6366.34</v>
      </c>
      <c r="F18" s="3">
        <v>100</v>
      </c>
      <c r="G18" s="6">
        <f>SUMPRODUCT(N([TRADE] &lt;= Tabela13[[#This Row],[TRADE]]), [APORTE]) + SUMPRODUCT(N([TRADE] &lt;= Tabela13[[#This Row],[TRADE]]), [APORTE RF])</f>
        <v>1600</v>
      </c>
      <c r="H18" s="6">
        <f>[MONTANTE] - SUMPRODUCT(N([TRADE] &lt;= Tabela13[[#This Row],[TRADE]]), [SAQUE]) + SUMPRODUCT(N([TRADE] &lt; Tabela13[[#This Row],[TRADE]]), [REINVESTIR])</f>
        <v>7551.67</v>
      </c>
      <c r="I18" s="6">
        <f>TRUNC([APLICAÇÃO]  * SETUP!$A$3, 2)</f>
        <v>2.79</v>
      </c>
      <c r="J18" s="6">
        <f>TRUNC([APLICAÇÃO]  * SETUP!$B$3, 2)</f>
        <v>2.0699999999999998</v>
      </c>
      <c r="K18" s="6">
        <f>TRUNC([APLICAÇÃO]  * SETUP!$C$3, 2)</f>
        <v>5.24</v>
      </c>
      <c r="L18" s="6">
        <f>TRUNC(SETUP!$G$3  * SETUP!$H$3, 2)</f>
        <v>0.28999999999999998</v>
      </c>
      <c r="M18" s="6">
        <f>ROUND(SETUP!$G$3 * SETUP!$I$3, 2)</f>
        <v>0.57999999999999996</v>
      </c>
      <c r="N18" s="6">
        <f>SETUP!$G$3 + SUM(Tabela13[[#This Row],[EMOL CP]]:Tabela13[[#This Row],[OUTRAS CP]])</f>
        <v>25.869999999999997</v>
      </c>
      <c r="O18" s="6">
        <f>TRUNC([APLICAÇÃO] * 2  * SETUP!$A$3, 2)</f>
        <v>5.58</v>
      </c>
      <c r="P18" s="6">
        <f>TRUNC([APLICAÇÃO] * 2  * SETUP!$B$3, 2)</f>
        <v>4.1500000000000004</v>
      </c>
      <c r="Q18" s="6">
        <f>TRUNC([APLICAÇÃO] * 2  * SETUP!$C$3, 2)</f>
        <v>10.49</v>
      </c>
      <c r="R18" s="6">
        <f>TRUNC(SETUP!$G$3  * SETUP!$H$3, 2)</f>
        <v>0.28999999999999998</v>
      </c>
      <c r="S18" s="6">
        <f>ROUND(SETUP!$G$3 * SETUP!$I$3, 2)</f>
        <v>0.57999999999999996</v>
      </c>
      <c r="T18" s="6">
        <f>SETUP!$G$3 + SUM(Tabela13[[#This Row],[EMOL VD]]:Tabela13[[#This Row],[OUTRAS VD]])</f>
        <v>35.989999999999995</v>
      </c>
      <c r="U18" s="6">
        <f>((([APLICAÇÃO] * 2) - [TAXA VD]) - ([APLICAÇÃO] + [TAXA CP])) * 0.85</f>
        <v>6366.3384999999998</v>
      </c>
      <c r="V18" s="6">
        <f>IF([LUCRO] &lt; 0, 0, ROUND([LUCRO]*80%, 2))</f>
        <v>5093.07</v>
      </c>
      <c r="W18" s="6">
        <f>[LUCRO]-[PROTEÇÃO MÊS]</f>
        <v>1273.2700000000004</v>
      </c>
      <c r="X18" s="50">
        <f>SUMPRODUCT(N([TRADE] &lt;= Tabela13[[#This Row],[TRADE]]), [PROTEÇÃO MÊS]) - [APORTE RF]</f>
        <v>28899.85</v>
      </c>
      <c r="Y18" s="6">
        <f>[TOT RF] + [REINVESTIR] + [APLICAÇÃO]</f>
        <v>37724.79</v>
      </c>
      <c r="Z18" s="4">
        <f>IF(AND([PROTEÇÃO MÊS] &gt; 0, ([TOT RF] - [PROTEÇÃO MÊS]) &gt; 0), [PROTEÇÃO MÊS] / ([TOT RF] - [PROTEÇÃO MÊS]), 0)</f>
        <v>0.21393359370733883</v>
      </c>
    </row>
    <row r="19" spans="1:26">
      <c r="A19" s="1">
        <v>18</v>
      </c>
      <c r="B19" s="26">
        <v>41518</v>
      </c>
      <c r="C19" s="3"/>
      <c r="D19" s="3"/>
      <c r="E19" s="3">
        <v>7528.92</v>
      </c>
      <c r="F19" s="3">
        <v>100</v>
      </c>
      <c r="G19" s="6">
        <f>SUMPRODUCT(N([TRADE] &lt;= Tabela13[[#This Row],[TRADE]]), [APORTE]) + SUMPRODUCT(N([TRADE] &lt;= Tabela13[[#This Row],[TRADE]]), [APORTE RF])</f>
        <v>1700</v>
      </c>
      <c r="H19" s="6">
        <f>[MONTANTE] - SUMPRODUCT(N([TRADE] &lt;= Tabela13[[#This Row],[TRADE]]), [SAQUE]) + SUMPRODUCT(N([TRADE] &lt; Tabela13[[#This Row],[TRADE]]), [REINVESTIR])</f>
        <v>8924.94</v>
      </c>
      <c r="I19" s="6">
        <f>TRUNC([APLICAÇÃO]  * SETUP!$A$3, 2)</f>
        <v>3.3</v>
      </c>
      <c r="J19" s="6">
        <f>TRUNC([APLICAÇÃO]  * SETUP!$B$3, 2)</f>
        <v>2.4500000000000002</v>
      </c>
      <c r="K19" s="6">
        <f>TRUNC([APLICAÇÃO]  * SETUP!$C$3, 2)</f>
        <v>6.2</v>
      </c>
      <c r="L19" s="6">
        <f>TRUNC(SETUP!$G$3  * SETUP!$H$3, 2)</f>
        <v>0.28999999999999998</v>
      </c>
      <c r="M19" s="6">
        <f>ROUND(SETUP!$G$3 * SETUP!$I$3, 2)</f>
        <v>0.57999999999999996</v>
      </c>
      <c r="N19" s="6">
        <f>SETUP!$G$3 + SUM(Tabela13[[#This Row],[EMOL CP]]:Tabela13[[#This Row],[OUTRAS CP]])</f>
        <v>27.72</v>
      </c>
      <c r="O19" s="6">
        <f>TRUNC([APLICAÇÃO] * 2  * SETUP!$A$3, 2)</f>
        <v>6.6</v>
      </c>
      <c r="P19" s="6">
        <f>TRUNC([APLICAÇÃO] * 2  * SETUP!$B$3, 2)</f>
        <v>4.9000000000000004</v>
      </c>
      <c r="Q19" s="6">
        <f>TRUNC([APLICAÇÃO] * 2  * SETUP!$C$3, 2)</f>
        <v>12.4</v>
      </c>
      <c r="R19" s="6">
        <f>TRUNC(SETUP!$G$3  * SETUP!$H$3, 2)</f>
        <v>0.28999999999999998</v>
      </c>
      <c r="S19" s="6">
        <f>ROUND(SETUP!$G$3 * SETUP!$I$3, 2)</f>
        <v>0.57999999999999996</v>
      </c>
      <c r="T19" s="6">
        <f>SETUP!$G$3 + SUM(Tabela13[[#This Row],[EMOL VD]]:Tabela13[[#This Row],[OUTRAS VD]])</f>
        <v>39.669999999999995</v>
      </c>
      <c r="U19" s="6">
        <f>((([APLICAÇÃO] * 2) - [TAXA VD]) - ([APLICAÇÃO] + [TAXA CP])) * 0.85</f>
        <v>7528.9175000000023</v>
      </c>
      <c r="V19" s="6">
        <f>IF([LUCRO] &lt; 0, 0, ROUND([LUCRO]*80%, 2))</f>
        <v>6023.14</v>
      </c>
      <c r="W19" s="6">
        <f>[LUCRO]-[PROTEÇÃO MÊS]</f>
        <v>1505.7799999999997</v>
      </c>
      <c r="X19" s="50">
        <f>SUMPRODUCT(N([TRADE] &lt;= Tabela13[[#This Row],[TRADE]]), [PROTEÇÃO MÊS]) - [APORTE RF]</f>
        <v>34922.99</v>
      </c>
      <c r="Y19" s="6">
        <f>[TOT RF] + [REINVESTIR] + [APLICAÇÃO]</f>
        <v>45353.71</v>
      </c>
      <c r="Z19" s="4">
        <f>IF(AND([PROTEÇÃO MÊS] &gt; 0, ([TOT RF] - [PROTEÇÃO MÊS]) &gt; 0), [PROTEÇÃO MÊS] / ([TOT RF] - [PROTEÇÃO MÊS]), 0)</f>
        <v>0.20841423052368785</v>
      </c>
    </row>
    <row r="20" spans="1:26">
      <c r="A20" s="29">
        <v>19</v>
      </c>
      <c r="B20" s="26">
        <v>41548</v>
      </c>
      <c r="C20" s="3"/>
      <c r="D20" s="3"/>
      <c r="E20" s="3">
        <v>8888.35</v>
      </c>
      <c r="F20" s="3">
        <v>100</v>
      </c>
      <c r="G20" s="6">
        <f>SUMPRODUCT(N([TRADE] &lt;= Tabela13[[#This Row],[TRADE]]), [APORTE]) + SUMPRODUCT(N([TRADE] &lt;= Tabela13[[#This Row],[TRADE]]), [APORTE RF])</f>
        <v>1800</v>
      </c>
      <c r="H20" s="6">
        <f>[MONTANTE] - SUMPRODUCT(N([TRADE] &lt;= Tabela13[[#This Row],[TRADE]]), [SAQUE]) + SUMPRODUCT(N([TRADE] &lt; Tabela13[[#This Row],[TRADE]]), [REINVESTIR])</f>
        <v>10530.720000000001</v>
      </c>
      <c r="I20" s="6">
        <f>TRUNC([APLICAÇÃO]  * SETUP!$A$3, 2)</f>
        <v>3.89</v>
      </c>
      <c r="J20" s="6">
        <f>TRUNC([APLICAÇÃO]  * SETUP!$B$3, 2)</f>
        <v>2.89</v>
      </c>
      <c r="K20" s="6">
        <f>TRUNC([APLICAÇÃO]  * SETUP!$C$3, 2)</f>
        <v>7.31</v>
      </c>
      <c r="L20" s="6">
        <f>TRUNC(SETUP!$G$3  * SETUP!$H$3, 2)</f>
        <v>0.28999999999999998</v>
      </c>
      <c r="M20" s="6">
        <f>ROUND(SETUP!$G$3 * SETUP!$I$3, 2)</f>
        <v>0.57999999999999996</v>
      </c>
      <c r="N20" s="6">
        <f>SETUP!$G$3 + SUM(Tabela13[[#This Row],[EMOL CP]]:Tabela13[[#This Row],[OUTRAS CP]])</f>
        <v>29.86</v>
      </c>
      <c r="O20" s="6">
        <f>TRUNC([APLICAÇÃO] * 2  * SETUP!$A$3, 2)</f>
        <v>7.79</v>
      </c>
      <c r="P20" s="6">
        <f>TRUNC([APLICAÇÃO] * 2  * SETUP!$B$3, 2)</f>
        <v>5.79</v>
      </c>
      <c r="Q20" s="6">
        <f>TRUNC([APLICAÇÃO] * 2  * SETUP!$C$3, 2)</f>
        <v>14.63</v>
      </c>
      <c r="R20" s="6">
        <f>TRUNC(SETUP!$G$3  * SETUP!$H$3, 2)</f>
        <v>0.28999999999999998</v>
      </c>
      <c r="S20" s="6">
        <f>ROUND(SETUP!$G$3 * SETUP!$I$3, 2)</f>
        <v>0.57999999999999996</v>
      </c>
      <c r="T20" s="6">
        <f>SETUP!$G$3 + SUM(Tabela13[[#This Row],[EMOL VD]]:Tabela13[[#This Row],[OUTRAS VD]])</f>
        <v>43.98</v>
      </c>
      <c r="U20" s="6">
        <f>((([APLICAÇÃO] * 2) - [TAXA VD]) - ([APLICAÇÃO] + [TAXA CP])) * 0.85</f>
        <v>8888.348</v>
      </c>
      <c r="V20" s="6">
        <f>IF([LUCRO] &lt; 0, 0, ROUND([LUCRO]*80%, 2))</f>
        <v>7110.68</v>
      </c>
      <c r="W20" s="6">
        <f>[LUCRO]-[PROTEÇÃO MÊS]</f>
        <v>1777.67</v>
      </c>
      <c r="X20" s="50">
        <f>SUMPRODUCT(N([TRADE] &lt;= Tabela13[[#This Row],[TRADE]]), [PROTEÇÃO MÊS]) - [APORTE RF]</f>
        <v>42033.67</v>
      </c>
      <c r="Y20" s="6">
        <f>[TOT RF] + [REINVESTIR] + [APLICAÇÃO]</f>
        <v>54342.06</v>
      </c>
      <c r="Z20" s="4">
        <f>IF(AND([PROTEÇÃO MÊS] &gt; 0, ([TOT RF] - [PROTEÇÃO MÊS]) &gt; 0), [PROTEÇÃO MÊS] / ([TOT RF] - [PROTEÇÃO MÊS]), 0)</f>
        <v>0.2036102865189951</v>
      </c>
    </row>
    <row r="21" spans="1:26">
      <c r="A21" s="1">
        <v>20</v>
      </c>
      <c r="B21" s="26">
        <v>41579</v>
      </c>
      <c r="C21" s="3"/>
      <c r="D21" s="3"/>
      <c r="E21" s="3">
        <v>10477.94</v>
      </c>
      <c r="F21" s="3">
        <v>100</v>
      </c>
      <c r="G21" s="6">
        <f>SUMPRODUCT(N([TRADE] &lt;= Tabela13[[#This Row],[TRADE]]), [APORTE]) + SUMPRODUCT(N([TRADE] &lt;= Tabela13[[#This Row],[TRADE]]), [APORTE RF])</f>
        <v>1900</v>
      </c>
      <c r="H21" s="6">
        <f>[MONTANTE] - SUMPRODUCT(N([TRADE] &lt;= Tabela13[[#This Row],[TRADE]]), [SAQUE]) + SUMPRODUCT(N([TRADE] &lt; Tabela13[[#This Row],[TRADE]]), [REINVESTIR])</f>
        <v>12408.390000000001</v>
      </c>
      <c r="I21" s="6">
        <f>TRUNC([APLICAÇÃO]  * SETUP!$A$3, 2)</f>
        <v>4.59</v>
      </c>
      <c r="J21" s="6">
        <f>TRUNC([APLICAÇÃO]  * SETUP!$B$3, 2)</f>
        <v>3.41</v>
      </c>
      <c r="K21" s="6">
        <f>TRUNC([APLICAÇÃO]  * SETUP!$C$3, 2)</f>
        <v>8.6199999999999992</v>
      </c>
      <c r="L21" s="6">
        <f>TRUNC(SETUP!$G$3  * SETUP!$H$3, 2)</f>
        <v>0.28999999999999998</v>
      </c>
      <c r="M21" s="6">
        <f>ROUND(SETUP!$G$3 * SETUP!$I$3, 2)</f>
        <v>0.57999999999999996</v>
      </c>
      <c r="N21" s="6">
        <f>SETUP!$G$3 + SUM(Tabela13[[#This Row],[EMOL CP]]:Tabela13[[#This Row],[OUTRAS CP]])</f>
        <v>32.389999999999993</v>
      </c>
      <c r="O21" s="6">
        <f>TRUNC([APLICAÇÃO] * 2  * SETUP!$A$3, 2)</f>
        <v>9.18</v>
      </c>
      <c r="P21" s="6">
        <f>TRUNC([APLICAÇÃO] * 2  * SETUP!$B$3, 2)</f>
        <v>6.82</v>
      </c>
      <c r="Q21" s="6">
        <f>TRUNC([APLICAÇÃO] * 2  * SETUP!$C$3, 2)</f>
        <v>17.239999999999998</v>
      </c>
      <c r="R21" s="6">
        <f>TRUNC(SETUP!$G$3  * SETUP!$H$3, 2)</f>
        <v>0.28999999999999998</v>
      </c>
      <c r="S21" s="6">
        <f>ROUND(SETUP!$G$3 * SETUP!$I$3, 2)</f>
        <v>0.57999999999999996</v>
      </c>
      <c r="T21" s="6">
        <f>SETUP!$G$3 + SUM(Tabela13[[#This Row],[EMOL VD]]:Tabela13[[#This Row],[OUTRAS VD]])</f>
        <v>49.009999999999991</v>
      </c>
      <c r="U21" s="6">
        <f>((([APLICAÇÃO] * 2) - [TAXA VD]) - ([APLICAÇÃO] + [TAXA CP])) * 0.85</f>
        <v>10477.941500000003</v>
      </c>
      <c r="V21" s="6">
        <f>IF([LUCRO] &lt; 0, 0, ROUND([LUCRO]*80%, 2))</f>
        <v>8382.35</v>
      </c>
      <c r="W21" s="6">
        <f>[LUCRO]-[PROTEÇÃO MÊS]</f>
        <v>2095.59</v>
      </c>
      <c r="X21" s="50">
        <f>SUMPRODUCT(N([TRADE] &lt;= Tabela13[[#This Row],[TRADE]]), [PROTEÇÃO MÊS]) - [APORTE RF]</f>
        <v>50416.02</v>
      </c>
      <c r="Y21" s="6">
        <f>[TOT RF] + [REINVESTIR] + [APLICAÇÃO]</f>
        <v>64920</v>
      </c>
      <c r="Z21" s="4">
        <f>IF(AND([PROTEÇÃO MÊS] &gt; 0, ([TOT RF] - [PROTEÇÃO MÊS]) &gt; 0), [PROTEÇÃO MÊS] / ([TOT RF] - [PROTEÇÃO MÊS]), 0)</f>
        <v>0.19941989362337384</v>
      </c>
    </row>
    <row r="22" spans="1:26">
      <c r="A22" s="29">
        <v>21</v>
      </c>
      <c r="B22" s="26">
        <v>41609</v>
      </c>
      <c r="C22" s="21"/>
      <c r="D22" s="21"/>
      <c r="E22" s="21">
        <v>12336.7</v>
      </c>
      <c r="F22" s="3">
        <v>100</v>
      </c>
      <c r="G22" s="22">
        <f>SUMPRODUCT(N([TRADE] &lt;= Tabela13[[#This Row],[TRADE]]), [APORTE]) + SUMPRODUCT(N([TRADE] &lt;= Tabela13[[#This Row],[TRADE]]), [APORTE RF])</f>
        <v>2000</v>
      </c>
      <c r="H22" s="22">
        <f>[MONTANTE] - SUMPRODUCT(N([TRADE] &lt;= Tabela13[[#This Row],[TRADE]]), [SAQUE]) + SUMPRODUCT(N([TRADE] &lt; Tabela13[[#This Row],[TRADE]]), [REINVESTIR])</f>
        <v>14603.980000000001</v>
      </c>
      <c r="I22" s="22">
        <f>TRUNC([APLICAÇÃO]  * SETUP!$A$3, 2)</f>
        <v>5.4</v>
      </c>
      <c r="J22" s="22">
        <f>TRUNC([APLICAÇÃO]  * SETUP!$B$3, 2)</f>
        <v>4.01</v>
      </c>
      <c r="K22" s="22">
        <f>TRUNC([APLICAÇÃO]  * SETUP!$C$3, 2)</f>
        <v>10.14</v>
      </c>
      <c r="L22" s="22">
        <f>TRUNC(SETUP!$G$3  * SETUP!$H$3, 2)</f>
        <v>0.28999999999999998</v>
      </c>
      <c r="M22" s="22">
        <f>ROUND(SETUP!$G$3 * SETUP!$I$3, 2)</f>
        <v>0.57999999999999996</v>
      </c>
      <c r="N22" s="22">
        <f>SETUP!$G$3 + SUM(Tabela13[[#This Row],[EMOL CP]]:Tabela13[[#This Row],[OUTRAS CP]])</f>
        <v>35.32</v>
      </c>
      <c r="O22" s="22">
        <f>TRUNC([APLICAÇÃO] * 2  * SETUP!$A$3, 2)</f>
        <v>10.8</v>
      </c>
      <c r="P22" s="22">
        <f>TRUNC([APLICAÇÃO] * 2  * SETUP!$B$3, 2)</f>
        <v>8.0299999999999994</v>
      </c>
      <c r="Q22" s="22">
        <f>TRUNC([APLICAÇÃO] * 2  * SETUP!$C$3, 2)</f>
        <v>20.29</v>
      </c>
      <c r="R22" s="22">
        <f>TRUNC(SETUP!$G$3  * SETUP!$H$3, 2)</f>
        <v>0.28999999999999998</v>
      </c>
      <c r="S22" s="22">
        <f>ROUND(SETUP!$G$3 * SETUP!$I$3, 2)</f>
        <v>0.57999999999999996</v>
      </c>
      <c r="T22" s="22">
        <f>SETUP!$G$3 + SUM(Tabela13[[#This Row],[EMOL VD]]:Tabela13[[#This Row],[OUTRAS VD]])</f>
        <v>54.889999999999993</v>
      </c>
      <c r="U22" s="22">
        <f>((([APLICAÇÃO] * 2) - [TAXA VD]) - ([APLICAÇÃO] + [TAXA CP])) * 0.85</f>
        <v>12336.704500000002</v>
      </c>
      <c r="V22" s="22">
        <f>IF([LUCRO] &lt; 0, 0, ROUND([LUCRO]*80%, 2))</f>
        <v>9869.36</v>
      </c>
      <c r="W22" s="22">
        <f>[LUCRO]-[PROTEÇÃO MÊS]</f>
        <v>2467.34</v>
      </c>
      <c r="X22" s="51">
        <f>SUMPRODUCT(N([TRADE] &lt;= Tabela13[[#This Row],[TRADE]]), [PROTEÇÃO MÊS]) - [APORTE RF]</f>
        <v>60285.38</v>
      </c>
      <c r="Y22" s="22">
        <f>[TOT RF] + [REINVESTIR] + [APLICAÇÃO]</f>
        <v>77356.7</v>
      </c>
      <c r="Z22" s="24">
        <f>IF(AND([PROTEÇÃO MÊS] &gt; 0, ([TOT RF] - [PROTEÇÃO MÊS]) &gt; 0), [PROTEÇÃO MÊS] / ([TOT RF] - [PROTEÇÃO MÊS]), 0)</f>
        <v>0.19575841171119818</v>
      </c>
    </row>
    <row r="23" spans="1:26">
      <c r="A23" s="1">
        <v>22</v>
      </c>
      <c r="B23" s="26">
        <v>41640</v>
      </c>
      <c r="C23" s="3"/>
      <c r="D23" s="3"/>
      <c r="E23" s="3">
        <v>14510.16</v>
      </c>
      <c r="F23" s="3">
        <v>100</v>
      </c>
      <c r="G23" s="6">
        <f>SUMPRODUCT(N([TRADE] &lt;= Tabela13[[#This Row],[TRADE]]), [APORTE]) + SUMPRODUCT(N([TRADE] &lt;= Tabela13[[#This Row],[TRADE]]), [APORTE RF])</f>
        <v>2100</v>
      </c>
      <c r="H23" s="6">
        <f>[MONTANTE] - SUMPRODUCT(N([TRADE] &lt;= Tabela13[[#This Row],[TRADE]]), [SAQUE]) + SUMPRODUCT(N([TRADE] &lt; Tabela13[[#This Row],[TRADE]]), [REINVESTIR])</f>
        <v>17171.32</v>
      </c>
      <c r="I23" s="6">
        <f>TRUNC([APLICAÇÃO]  * SETUP!$A$3, 2)</f>
        <v>6.35</v>
      </c>
      <c r="J23" s="6">
        <f>TRUNC([APLICAÇÃO]  * SETUP!$B$3, 2)</f>
        <v>4.72</v>
      </c>
      <c r="K23" s="6">
        <f>TRUNC([APLICAÇÃO]  * SETUP!$C$3, 2)</f>
        <v>11.93</v>
      </c>
      <c r="L23" s="6">
        <f>TRUNC(SETUP!$G$3  * SETUP!$H$3, 2)</f>
        <v>0.28999999999999998</v>
      </c>
      <c r="M23" s="6">
        <f>ROUND(SETUP!$G$3 * SETUP!$I$3, 2)</f>
        <v>0.57999999999999996</v>
      </c>
      <c r="N23" s="6">
        <f>SETUP!$G$3 + SUM(Tabela13[[#This Row],[EMOL CP]]:Tabela13[[#This Row],[OUTRAS CP]])</f>
        <v>38.769999999999996</v>
      </c>
      <c r="O23" s="6">
        <f>TRUNC([APLICAÇÃO] * 2  * SETUP!$A$3, 2)</f>
        <v>12.7</v>
      </c>
      <c r="P23" s="6">
        <f>TRUNC([APLICAÇÃO] * 2  * SETUP!$B$3, 2)</f>
        <v>9.44</v>
      </c>
      <c r="Q23" s="6">
        <f>TRUNC([APLICAÇÃO] * 2  * SETUP!$C$3, 2)</f>
        <v>23.86</v>
      </c>
      <c r="R23" s="6">
        <f>TRUNC(SETUP!$G$3  * SETUP!$H$3, 2)</f>
        <v>0.28999999999999998</v>
      </c>
      <c r="S23" s="6">
        <f>ROUND(SETUP!$G$3 * SETUP!$I$3, 2)</f>
        <v>0.57999999999999996</v>
      </c>
      <c r="T23" s="6">
        <f>SETUP!$G$3 + SUM(Tabela13[[#This Row],[EMOL VD]]:Tabela13[[#This Row],[OUTRAS VD]])</f>
        <v>61.769999999999996</v>
      </c>
      <c r="U23" s="6">
        <f>((([APLICAÇÃO] * 2) - [TAXA VD]) - ([APLICAÇÃO] + [TAXA CP])) * 0.85</f>
        <v>14510.163000000002</v>
      </c>
      <c r="V23" s="6">
        <f>IF([LUCRO] &lt; 0, 0, ROUND([LUCRO]*80%, 2))</f>
        <v>11608.13</v>
      </c>
      <c r="W23" s="6">
        <f>[LUCRO]-[PROTEÇÃO MÊS]</f>
        <v>2902.0300000000007</v>
      </c>
      <c r="X23" s="50">
        <f>SUMPRODUCT(N([TRADE] &lt;= Tabela13[[#This Row],[TRADE]]), [PROTEÇÃO MÊS]) - [APORTE RF]</f>
        <v>71893.509999999995</v>
      </c>
      <c r="Y23" s="6">
        <f>[TOT RF] + [REINVESTIR] + [APLICAÇÃO]</f>
        <v>91966.859999999986</v>
      </c>
      <c r="Z23" s="4">
        <f>IF(AND([PROTEÇÃO MÊS] &gt; 0, ([TOT RF] - [PROTEÇÃO MÊS]) &gt; 0), [PROTEÇÃO MÊS] / ([TOT RF] - [PROTEÇÃO MÊS]), 0)</f>
        <v>0.19255298714215618</v>
      </c>
    </row>
    <row r="24" spans="1:26">
      <c r="A24" s="29">
        <v>23</v>
      </c>
      <c r="B24" s="26">
        <v>41671</v>
      </c>
      <c r="C24" s="3"/>
      <c r="D24" s="3"/>
      <c r="E24" s="3">
        <v>17051.63</v>
      </c>
      <c r="F24" s="3">
        <v>100</v>
      </c>
      <c r="G24" s="6">
        <f>SUMPRODUCT(N([TRADE] &lt;= Tabela13[[#This Row],[TRADE]]), [APORTE]) + SUMPRODUCT(N([TRADE] &lt;= Tabela13[[#This Row],[TRADE]]), [APORTE RF])</f>
        <v>2200</v>
      </c>
      <c r="H24" s="6">
        <f>[MONTANTE] - SUMPRODUCT(N([TRADE] &lt;= Tabela13[[#This Row],[TRADE]]), [SAQUE]) + SUMPRODUCT(N([TRADE] &lt; Tabela13[[#This Row],[TRADE]]), [REINVESTIR])</f>
        <v>20173.350000000002</v>
      </c>
      <c r="I24" s="6">
        <f>TRUNC([APLICAÇÃO]  * SETUP!$A$3, 2)</f>
        <v>7.46</v>
      </c>
      <c r="J24" s="6">
        <f>TRUNC([APLICAÇÃO]  * SETUP!$B$3, 2)</f>
        <v>5.54</v>
      </c>
      <c r="K24" s="6">
        <f>TRUNC([APLICAÇÃO]  * SETUP!$C$3, 2)</f>
        <v>14.02</v>
      </c>
      <c r="L24" s="6">
        <f>TRUNC(SETUP!$G$3  * SETUP!$H$3, 2)</f>
        <v>0.28999999999999998</v>
      </c>
      <c r="M24" s="6">
        <f>ROUND(SETUP!$G$3 * SETUP!$I$3, 2)</f>
        <v>0.57999999999999996</v>
      </c>
      <c r="N24" s="6">
        <f>SETUP!$G$3 + SUM(Tabela13[[#This Row],[EMOL CP]]:Tabela13[[#This Row],[OUTRAS CP]])</f>
        <v>42.79</v>
      </c>
      <c r="O24" s="6">
        <f>TRUNC([APLICAÇÃO] * 2  * SETUP!$A$3, 2)</f>
        <v>14.92</v>
      </c>
      <c r="P24" s="6">
        <f>TRUNC([APLICAÇÃO] * 2  * SETUP!$B$3, 2)</f>
        <v>11.09</v>
      </c>
      <c r="Q24" s="6">
        <f>TRUNC([APLICAÇÃO] * 2  * SETUP!$C$3, 2)</f>
        <v>28.04</v>
      </c>
      <c r="R24" s="6">
        <f>TRUNC(SETUP!$G$3  * SETUP!$H$3, 2)</f>
        <v>0.28999999999999998</v>
      </c>
      <c r="S24" s="6">
        <f>ROUND(SETUP!$G$3 * SETUP!$I$3, 2)</f>
        <v>0.57999999999999996</v>
      </c>
      <c r="T24" s="6">
        <f>SETUP!$G$3 + SUM(Tabela13[[#This Row],[EMOL VD]]:Tabela13[[#This Row],[OUTRAS VD]])</f>
        <v>69.819999999999993</v>
      </c>
      <c r="U24" s="6">
        <f>((([APLICAÇÃO] * 2) - [TAXA VD]) - ([APLICAÇÃO] + [TAXA CP])) * 0.85</f>
        <v>17051.629000000001</v>
      </c>
      <c r="V24" s="6">
        <f>IF([LUCRO] &lt; 0, 0, ROUND([LUCRO]*80%, 2))</f>
        <v>13641.3</v>
      </c>
      <c r="W24" s="6">
        <f>[LUCRO]-[PROTEÇÃO MÊS]</f>
        <v>3410.3300000000017</v>
      </c>
      <c r="X24" s="50">
        <f>SUMPRODUCT(N([TRADE] &lt;= Tabela13[[#This Row],[TRADE]]), [PROTEÇÃO MÊS]) - [APORTE RF]</f>
        <v>85534.81</v>
      </c>
      <c r="Y24" s="6">
        <f>[TOT RF] + [REINVESTIR] + [APLICAÇÃO]</f>
        <v>109118.49</v>
      </c>
      <c r="Z24" s="4">
        <f>IF(AND([PROTEÇÃO MÊS] &gt; 0, ([TOT RF] - [PROTEÇÃO MÊS]) &gt; 0), [PROTEÇÃO MÊS] / ([TOT RF] - [PROTEÇÃO MÊS]), 0)</f>
        <v>0.1897431353678517</v>
      </c>
    </row>
    <row r="25" spans="1:26">
      <c r="A25" s="1">
        <v>24</v>
      </c>
      <c r="B25" s="26">
        <v>41699</v>
      </c>
      <c r="C25" s="3"/>
      <c r="D25" s="3"/>
      <c r="E25" s="3">
        <v>20023.41</v>
      </c>
      <c r="F25" s="3">
        <v>100</v>
      </c>
      <c r="G25" s="6">
        <f>SUMPRODUCT(N([TRADE] &lt;= Tabela13[[#This Row],[TRADE]]), [APORTE]) + SUMPRODUCT(N([TRADE] &lt;= Tabela13[[#This Row],[TRADE]]), [APORTE RF])</f>
        <v>2300</v>
      </c>
      <c r="H25" s="6">
        <f>[MONTANTE] - SUMPRODUCT(N([TRADE] &lt;= Tabela13[[#This Row],[TRADE]]), [SAQUE]) + SUMPRODUCT(N([TRADE] &lt; Tabela13[[#This Row],[TRADE]]), [REINVESTIR])</f>
        <v>23683.680000000004</v>
      </c>
      <c r="I25" s="6">
        <f>TRUNC([APLICAÇÃO]  * SETUP!$A$3, 2)</f>
        <v>8.76</v>
      </c>
      <c r="J25" s="6">
        <f>TRUNC([APLICAÇÃO]  * SETUP!$B$3, 2)</f>
        <v>6.51</v>
      </c>
      <c r="K25" s="6">
        <f>TRUNC([APLICAÇÃO]  * SETUP!$C$3, 2)</f>
        <v>16.46</v>
      </c>
      <c r="L25" s="6">
        <f>TRUNC(SETUP!$G$3  * SETUP!$H$3, 2)</f>
        <v>0.28999999999999998</v>
      </c>
      <c r="M25" s="6">
        <f>ROUND(SETUP!$G$3 * SETUP!$I$3, 2)</f>
        <v>0.57999999999999996</v>
      </c>
      <c r="N25" s="6">
        <f>SETUP!$G$3 + SUM(Tabela13[[#This Row],[EMOL CP]]:Tabela13[[#This Row],[OUTRAS CP]])</f>
        <v>47.5</v>
      </c>
      <c r="O25" s="6">
        <f>TRUNC([APLICAÇÃO] * 2  * SETUP!$A$3, 2)</f>
        <v>17.52</v>
      </c>
      <c r="P25" s="6">
        <f>TRUNC([APLICAÇÃO] * 2  * SETUP!$B$3, 2)</f>
        <v>13.02</v>
      </c>
      <c r="Q25" s="6">
        <f>TRUNC([APLICAÇÃO] * 2  * SETUP!$C$3, 2)</f>
        <v>32.92</v>
      </c>
      <c r="R25" s="6">
        <f>TRUNC(SETUP!$G$3  * SETUP!$H$3, 2)</f>
        <v>0.28999999999999998</v>
      </c>
      <c r="S25" s="6">
        <f>ROUND(SETUP!$G$3 * SETUP!$I$3, 2)</f>
        <v>0.57999999999999996</v>
      </c>
      <c r="T25" s="6">
        <f>SETUP!$G$3 + SUM(Tabela13[[#This Row],[EMOL VD]]:Tabela13[[#This Row],[OUTRAS VD]])</f>
        <v>79.23</v>
      </c>
      <c r="U25" s="6">
        <f>((([APLICAÇÃO] * 2) - [TAXA VD]) - ([APLICAÇÃO] + [TAXA CP])) * 0.85</f>
        <v>20023.407500000001</v>
      </c>
      <c r="V25" s="6">
        <f>IF([LUCRO] &lt; 0, 0, ROUND([LUCRO]*80%, 2))</f>
        <v>16018.73</v>
      </c>
      <c r="W25" s="6">
        <f>[LUCRO]-[PROTEÇÃO MÊS]</f>
        <v>4004.6800000000003</v>
      </c>
      <c r="X25" s="50">
        <f>SUMPRODUCT(N([TRADE] &lt;= Tabela13[[#This Row],[TRADE]]), [PROTEÇÃO MÊS]) - [APORTE RF]</f>
        <v>101553.54</v>
      </c>
      <c r="Y25" s="6">
        <f>[TOT RF] + [REINVESTIR] + [APLICAÇÃO]</f>
        <v>129241.90000000001</v>
      </c>
      <c r="Z25" s="4">
        <f>IF(AND([PROTEÇÃO MÊS] &gt; 0, ([TOT RF] - [PROTEÇÃO MÊS]) &gt; 0), [PROTEÇÃO MÊS] / ([TOT RF] - [PROTEÇÃO MÊS]), 0)</f>
        <v>0.18727732019279636</v>
      </c>
    </row>
    <row r="26" spans="1:26">
      <c r="A26" s="29">
        <v>25</v>
      </c>
      <c r="B26" s="26">
        <v>41730</v>
      </c>
      <c r="C26" s="3"/>
      <c r="D26" s="3"/>
      <c r="E26" s="3">
        <v>23498.36</v>
      </c>
      <c r="F26" s="3">
        <v>100</v>
      </c>
      <c r="G26" s="6">
        <f>SUMPRODUCT(N([TRADE] &lt;= Tabela13[[#This Row],[TRADE]]), [APORTE]) + SUMPRODUCT(N([TRADE] &lt;= Tabela13[[#This Row],[TRADE]]), [APORTE RF])</f>
        <v>2400</v>
      </c>
      <c r="H26" s="6">
        <f>[MONTANTE] - SUMPRODUCT(N([TRADE] &lt;= Tabela13[[#This Row],[TRADE]]), [SAQUE]) + SUMPRODUCT(N([TRADE] &lt; Tabela13[[#This Row],[TRADE]]), [REINVESTIR])</f>
        <v>27788.360000000004</v>
      </c>
      <c r="I26" s="6">
        <f>TRUNC([APLICAÇÃO]  * SETUP!$A$3, 2)</f>
        <v>10.28</v>
      </c>
      <c r="J26" s="6">
        <f>TRUNC([APLICAÇÃO]  * SETUP!$B$3, 2)</f>
        <v>7.64</v>
      </c>
      <c r="K26" s="6">
        <f>TRUNC([APLICAÇÃO]  * SETUP!$C$3, 2)</f>
        <v>19.309999999999999</v>
      </c>
      <c r="L26" s="6">
        <f>TRUNC(SETUP!$G$3  * SETUP!$H$3, 2)</f>
        <v>0.28999999999999998</v>
      </c>
      <c r="M26" s="6">
        <f>ROUND(SETUP!$G$3 * SETUP!$I$3, 2)</f>
        <v>0.57999999999999996</v>
      </c>
      <c r="N26" s="6">
        <f>SETUP!$G$3 + SUM(Tabela13[[#This Row],[EMOL CP]]:Tabela13[[#This Row],[OUTRAS CP]])</f>
        <v>52.999999999999993</v>
      </c>
      <c r="O26" s="6">
        <f>TRUNC([APLICAÇÃO] * 2  * SETUP!$A$3, 2)</f>
        <v>20.56</v>
      </c>
      <c r="P26" s="6">
        <f>TRUNC([APLICAÇÃO] * 2  * SETUP!$B$3, 2)</f>
        <v>15.28</v>
      </c>
      <c r="Q26" s="6">
        <f>TRUNC([APLICAÇÃO] * 2  * SETUP!$C$3, 2)</f>
        <v>38.619999999999997</v>
      </c>
      <c r="R26" s="6">
        <f>TRUNC(SETUP!$G$3  * SETUP!$H$3, 2)</f>
        <v>0.28999999999999998</v>
      </c>
      <c r="S26" s="6">
        <f>ROUND(SETUP!$G$3 * SETUP!$I$3, 2)</f>
        <v>0.57999999999999996</v>
      </c>
      <c r="T26" s="6">
        <f>SETUP!$G$3 + SUM(Tabela13[[#This Row],[EMOL VD]]:Tabela13[[#This Row],[OUTRAS VD]])</f>
        <v>90.23</v>
      </c>
      <c r="U26" s="6">
        <f>((([APLICAÇÃO] * 2) - [TAXA VD]) - ([APLICAÇÃO] + [TAXA CP])) * 0.85</f>
        <v>23498.360499999999</v>
      </c>
      <c r="V26" s="6">
        <f>IF([LUCRO] &lt; 0, 0, ROUND([LUCRO]*80%, 2))</f>
        <v>18798.689999999999</v>
      </c>
      <c r="W26" s="6">
        <f>[LUCRO]-[PROTEÇÃO MÊS]</f>
        <v>4699.6700000000019</v>
      </c>
      <c r="X26" s="50">
        <f>SUMPRODUCT(N([TRADE] &lt;= Tabela13[[#This Row],[TRADE]]), [PROTEÇÃO MÊS]) - [APORTE RF]</f>
        <v>120352.23</v>
      </c>
      <c r="Y26" s="6">
        <f>[TOT RF] + [REINVESTIR] + [APLICAÇÃO]</f>
        <v>152840.26</v>
      </c>
      <c r="Z26" s="4">
        <f>IF(AND([PROTEÇÃO MÊS] &gt; 0, ([TOT RF] - [PROTEÇÃO MÊS]) &gt; 0), [PROTEÇÃO MÊS] / ([TOT RF] - [PROTEÇÃO MÊS]), 0)</f>
        <v>0.18511112463435545</v>
      </c>
    </row>
    <row r="27" spans="1:26">
      <c r="A27" s="1">
        <v>26</v>
      </c>
      <c r="B27" s="26">
        <v>41760</v>
      </c>
      <c r="C27" s="3"/>
      <c r="D27" s="3"/>
      <c r="E27" s="3">
        <v>27561.69</v>
      </c>
      <c r="F27" s="3">
        <v>100</v>
      </c>
      <c r="G27" s="6">
        <f>SUMPRODUCT(N([TRADE] &lt;= Tabela13[[#This Row],[TRADE]]), [APORTE]) + SUMPRODUCT(N([TRADE] &lt;= Tabela13[[#This Row],[TRADE]]), [APORTE RF])</f>
        <v>2500</v>
      </c>
      <c r="H27" s="6">
        <f>[MONTANTE] - SUMPRODUCT(N([TRADE] &lt;= Tabela13[[#This Row],[TRADE]]), [SAQUE]) + SUMPRODUCT(N([TRADE] &lt; Tabela13[[#This Row],[TRADE]]), [REINVESTIR])</f>
        <v>32588.030000000006</v>
      </c>
      <c r="I27" s="6">
        <f>TRUNC([APLICAÇÃO]  * SETUP!$A$3, 2)</f>
        <v>12.05</v>
      </c>
      <c r="J27" s="6">
        <f>TRUNC([APLICAÇÃO]  * SETUP!$B$3, 2)</f>
        <v>8.9600000000000009</v>
      </c>
      <c r="K27" s="6">
        <f>TRUNC([APLICAÇÃO]  * SETUP!$C$3, 2)</f>
        <v>22.64</v>
      </c>
      <c r="L27" s="6">
        <f>TRUNC(SETUP!$G$3  * SETUP!$H$3, 2)</f>
        <v>0.28999999999999998</v>
      </c>
      <c r="M27" s="6">
        <f>ROUND(SETUP!$G$3 * SETUP!$I$3, 2)</f>
        <v>0.57999999999999996</v>
      </c>
      <c r="N27" s="6">
        <f>SETUP!$G$3 + SUM(Tabela13[[#This Row],[EMOL CP]]:Tabela13[[#This Row],[OUTRAS CP]])</f>
        <v>59.42</v>
      </c>
      <c r="O27" s="6">
        <f>TRUNC([APLICAÇÃO] * 2  * SETUP!$A$3, 2)</f>
        <v>24.11</v>
      </c>
      <c r="P27" s="6">
        <f>TRUNC([APLICAÇÃO] * 2  * SETUP!$B$3, 2)</f>
        <v>17.920000000000002</v>
      </c>
      <c r="Q27" s="6">
        <f>TRUNC([APLICAÇÃO] * 2  * SETUP!$C$3, 2)</f>
        <v>45.29</v>
      </c>
      <c r="R27" s="6">
        <f>TRUNC(SETUP!$G$3  * SETUP!$H$3, 2)</f>
        <v>0.28999999999999998</v>
      </c>
      <c r="S27" s="6">
        <f>ROUND(SETUP!$G$3 * SETUP!$I$3, 2)</f>
        <v>0.57999999999999996</v>
      </c>
      <c r="T27" s="6">
        <f>SETUP!$G$3 + SUM(Tabela13[[#This Row],[EMOL VD]]:Tabela13[[#This Row],[OUTRAS VD]])</f>
        <v>103.09</v>
      </c>
      <c r="U27" s="6">
        <f>((([APLICAÇÃO] * 2) - [TAXA VD]) - ([APLICAÇÃO] + [TAXA CP])) * 0.85</f>
        <v>27561.69200000001</v>
      </c>
      <c r="V27" s="6">
        <f>IF([LUCRO] &lt; 0, 0, ROUND([LUCRO]*80%, 2))</f>
        <v>22049.35</v>
      </c>
      <c r="W27" s="6">
        <f>[LUCRO]-[PROTEÇÃO MÊS]</f>
        <v>5512.34</v>
      </c>
      <c r="X27" s="50">
        <f>SUMPRODUCT(N([TRADE] &lt;= Tabela13[[#This Row],[TRADE]]), [PROTEÇÃO MÊS]) - [APORTE RF]</f>
        <v>142401.57999999999</v>
      </c>
      <c r="Y27" s="6">
        <f>[TOT RF] + [REINVESTIR] + [APLICAÇÃO]</f>
        <v>180501.94999999998</v>
      </c>
      <c r="Z27" s="4">
        <f>IF(AND([PROTEÇÃO MÊS] &gt; 0, ([TOT RF] - [PROTEÇÃO MÊS]) &gt; 0), [PROTEÇÃO MÊS] / ([TOT RF] - [PROTEÇÃO MÊS]), 0)</f>
        <v>0.18320682549878803</v>
      </c>
    </row>
    <row r="28" spans="1:26">
      <c r="A28" s="29">
        <v>27</v>
      </c>
      <c r="B28" s="26">
        <v>41791</v>
      </c>
      <c r="C28" s="3"/>
      <c r="D28" s="3"/>
      <c r="E28" s="3">
        <v>32313.01</v>
      </c>
      <c r="F28" s="3">
        <v>100</v>
      </c>
      <c r="G28" s="6">
        <f>SUMPRODUCT(N([TRADE] &lt;= Tabela13[[#This Row],[TRADE]]), [APORTE]) + SUMPRODUCT(N([TRADE] &lt;= Tabela13[[#This Row],[TRADE]]), [APORTE RF])</f>
        <v>2600</v>
      </c>
      <c r="H28" s="6">
        <f>[MONTANTE] - SUMPRODUCT(N([TRADE] &lt;= Tabela13[[#This Row],[TRADE]]), [SAQUE]) + SUMPRODUCT(N([TRADE] &lt; Tabela13[[#This Row],[TRADE]]), [REINVESTIR])</f>
        <v>38200.37000000001</v>
      </c>
      <c r="I28" s="6">
        <f>TRUNC([APLICAÇÃO]  * SETUP!$A$3, 2)</f>
        <v>14.13</v>
      </c>
      <c r="J28" s="6">
        <f>TRUNC([APLICAÇÃO]  * SETUP!$B$3, 2)</f>
        <v>10.5</v>
      </c>
      <c r="K28" s="6">
        <f>TRUNC([APLICAÇÃO]  * SETUP!$C$3, 2)</f>
        <v>26.54</v>
      </c>
      <c r="L28" s="6">
        <f>TRUNC(SETUP!$G$3  * SETUP!$H$3, 2)</f>
        <v>0.28999999999999998</v>
      </c>
      <c r="M28" s="6">
        <f>ROUND(SETUP!$G$3 * SETUP!$I$3, 2)</f>
        <v>0.57999999999999996</v>
      </c>
      <c r="N28" s="6">
        <f>SETUP!$G$3 + SUM(Tabela13[[#This Row],[EMOL CP]]:Tabela13[[#This Row],[OUTRAS CP]])</f>
        <v>66.94</v>
      </c>
      <c r="O28" s="6">
        <f>TRUNC([APLICAÇÃO] * 2  * SETUP!$A$3, 2)</f>
        <v>28.26</v>
      </c>
      <c r="P28" s="6">
        <f>TRUNC([APLICAÇÃO] * 2  * SETUP!$B$3, 2)</f>
        <v>21.01</v>
      </c>
      <c r="Q28" s="6">
        <f>TRUNC([APLICAÇÃO] * 2  * SETUP!$C$3, 2)</f>
        <v>53.09</v>
      </c>
      <c r="R28" s="6">
        <f>TRUNC(SETUP!$G$3  * SETUP!$H$3, 2)</f>
        <v>0.28999999999999998</v>
      </c>
      <c r="S28" s="6">
        <f>ROUND(SETUP!$G$3 * SETUP!$I$3, 2)</f>
        <v>0.57999999999999996</v>
      </c>
      <c r="T28" s="6">
        <f>SETUP!$G$3 + SUM(Tabela13[[#This Row],[EMOL VD]]:Tabela13[[#This Row],[OUTRAS VD]])</f>
        <v>118.13000000000002</v>
      </c>
      <c r="U28" s="6">
        <f>((([APLICAÇÃO] * 2) - [TAXA VD]) - ([APLICAÇÃO] + [TAXA CP])) * 0.85</f>
        <v>32313.005000000001</v>
      </c>
      <c r="V28" s="6">
        <f>IF([LUCRO] &lt; 0, 0, ROUND([LUCRO]*80%, 2))</f>
        <v>25850.41</v>
      </c>
      <c r="W28" s="6">
        <f>[LUCRO]-[PROTEÇÃO MÊS]</f>
        <v>6462.5999999999985</v>
      </c>
      <c r="X28" s="50">
        <f>SUMPRODUCT(N([TRADE] &lt;= Tabela13[[#This Row],[TRADE]]), [PROTEÇÃO MÊS]) - [APORTE RF]</f>
        <v>168251.99</v>
      </c>
      <c r="Y28" s="6">
        <f>[TOT RF] + [REINVESTIR] + [APLICAÇÃO]</f>
        <v>212914.96000000002</v>
      </c>
      <c r="Z28" s="4">
        <f>IF(AND([PROTEÇÃO MÊS] &gt; 0, ([TOT RF] - [PROTEÇÃO MÊS]) &gt; 0), [PROTEÇÃO MÊS] / ([TOT RF] - [PROTEÇÃO MÊS]), 0)</f>
        <v>0.18153176390318143</v>
      </c>
    </row>
    <row r="29" spans="1:26">
      <c r="A29" s="1">
        <v>28</v>
      </c>
      <c r="B29" s="26">
        <v>41821</v>
      </c>
      <c r="C29" s="3"/>
      <c r="D29" s="3"/>
      <c r="E29" s="3">
        <v>37868.78</v>
      </c>
      <c r="F29" s="3">
        <v>100</v>
      </c>
      <c r="G29" s="6">
        <f>SUMPRODUCT(N([TRADE] &lt;= Tabela13[[#This Row],[TRADE]]), [APORTE]) + SUMPRODUCT(N([TRADE] &lt;= Tabela13[[#This Row],[TRADE]]), [APORTE RF])</f>
        <v>2700</v>
      </c>
      <c r="H29" s="6">
        <f>[MONTANTE] - SUMPRODUCT(N([TRADE] &lt;= Tabela13[[#This Row],[TRADE]]), [SAQUE]) + SUMPRODUCT(N([TRADE] &lt; Tabela13[[#This Row],[TRADE]]), [REINVESTIR])</f>
        <v>44762.970000000008</v>
      </c>
      <c r="I29" s="6">
        <f>TRUNC([APLICAÇÃO]  * SETUP!$A$3, 2)</f>
        <v>16.559999999999999</v>
      </c>
      <c r="J29" s="6">
        <f>TRUNC([APLICAÇÃO]  * SETUP!$B$3, 2)</f>
        <v>12.3</v>
      </c>
      <c r="K29" s="6">
        <f>TRUNC([APLICAÇÃO]  * SETUP!$C$3, 2)</f>
        <v>31.11</v>
      </c>
      <c r="L29" s="6">
        <f>TRUNC(SETUP!$G$3  * SETUP!$H$3, 2)</f>
        <v>0.28999999999999998</v>
      </c>
      <c r="M29" s="6">
        <f>ROUND(SETUP!$G$3 * SETUP!$I$3, 2)</f>
        <v>0.57999999999999996</v>
      </c>
      <c r="N29" s="6">
        <f>SETUP!$G$3 + SUM(Tabela13[[#This Row],[EMOL CP]]:Tabela13[[#This Row],[OUTRAS CP]])</f>
        <v>75.739999999999995</v>
      </c>
      <c r="O29" s="6">
        <f>TRUNC([APLICAÇÃO] * 2  * SETUP!$A$3, 2)</f>
        <v>33.119999999999997</v>
      </c>
      <c r="P29" s="6">
        <f>TRUNC([APLICAÇÃO] * 2  * SETUP!$B$3, 2)</f>
        <v>24.61</v>
      </c>
      <c r="Q29" s="6">
        <f>TRUNC([APLICAÇÃO] * 2  * SETUP!$C$3, 2)</f>
        <v>62.22</v>
      </c>
      <c r="R29" s="6">
        <f>TRUNC(SETUP!$G$3  * SETUP!$H$3, 2)</f>
        <v>0.28999999999999998</v>
      </c>
      <c r="S29" s="6">
        <f>ROUND(SETUP!$G$3 * SETUP!$I$3, 2)</f>
        <v>0.57999999999999996</v>
      </c>
      <c r="T29" s="6">
        <f>SETUP!$G$3 + SUM(Tabela13[[#This Row],[EMOL VD]]:Tabela13[[#This Row],[OUTRAS VD]])</f>
        <v>135.72</v>
      </c>
      <c r="U29" s="6">
        <f>((([APLICAÇÃO] * 2) - [TAXA VD]) - ([APLICAÇÃO] + [TAXA CP])) * 0.85</f>
        <v>37868.783500000005</v>
      </c>
      <c r="V29" s="6">
        <f>IF([LUCRO] &lt; 0, 0, ROUND([LUCRO]*80%, 2))</f>
        <v>30295.02</v>
      </c>
      <c r="W29" s="6">
        <f>[LUCRO]-[PROTEÇÃO MÊS]</f>
        <v>7573.7599999999984</v>
      </c>
      <c r="X29" s="50">
        <f>SUMPRODUCT(N([TRADE] &lt;= Tabela13[[#This Row],[TRADE]]), [PROTEÇÃO MÊS]) - [APORTE RF]</f>
        <v>198547.00999999998</v>
      </c>
      <c r="Y29" s="6">
        <f>[TOT RF] + [REINVESTIR] + [APLICAÇÃO]</f>
        <v>250883.74</v>
      </c>
      <c r="Z29" s="4">
        <f>IF(AND([PROTEÇÃO MÊS] &gt; 0, ([TOT RF] - [PROTEÇÃO MÊS]) &gt; 0), [PROTEÇÃO MÊS] / ([TOT RF] - [PROTEÇÃO MÊS]), 0)</f>
        <v>0.1800574245808326</v>
      </c>
    </row>
    <row r="30" spans="1:26">
      <c r="A30" s="29">
        <v>29</v>
      </c>
      <c r="B30" s="26">
        <v>41852</v>
      </c>
      <c r="C30" s="21"/>
      <c r="D30" s="21"/>
      <c r="E30" s="21">
        <v>44365.25</v>
      </c>
      <c r="F30" s="3">
        <v>100</v>
      </c>
      <c r="G30" s="22">
        <f>SUMPRODUCT(N([TRADE] &lt;= Tabela13[[#This Row],[TRADE]]), [APORTE]) + SUMPRODUCT(N([TRADE] &lt;= Tabela13[[#This Row],[TRADE]]), [APORTE RF])</f>
        <v>2800</v>
      </c>
      <c r="H30" s="22">
        <f>[MONTANTE] - SUMPRODUCT(N([TRADE] &lt;= Tabela13[[#This Row],[TRADE]]), [SAQUE]) + SUMPRODUCT(N([TRADE] &lt; Tabela13[[#This Row],[TRADE]]), [REINVESTIR])</f>
        <v>52436.73000000001</v>
      </c>
      <c r="I30" s="22">
        <f>TRUNC([APLICAÇÃO]  * SETUP!$A$3, 2)</f>
        <v>19.399999999999999</v>
      </c>
      <c r="J30" s="22">
        <f>TRUNC([APLICAÇÃO]  * SETUP!$B$3, 2)</f>
        <v>14.42</v>
      </c>
      <c r="K30" s="22">
        <f>TRUNC([APLICAÇÃO]  * SETUP!$C$3, 2)</f>
        <v>36.44</v>
      </c>
      <c r="L30" s="22">
        <f>TRUNC(SETUP!$G$3  * SETUP!$H$3, 2)</f>
        <v>0.28999999999999998</v>
      </c>
      <c r="M30" s="22">
        <f>ROUND(SETUP!$G$3 * SETUP!$I$3, 2)</f>
        <v>0.57999999999999996</v>
      </c>
      <c r="N30" s="22">
        <f>SETUP!$G$3 + SUM(Tabela13[[#This Row],[EMOL CP]]:Tabela13[[#This Row],[OUTRAS CP]])</f>
        <v>86.03</v>
      </c>
      <c r="O30" s="22">
        <f>TRUNC([APLICAÇÃO] * 2  * SETUP!$A$3, 2)</f>
        <v>38.799999999999997</v>
      </c>
      <c r="P30" s="22">
        <f>TRUNC([APLICAÇÃO] * 2  * SETUP!$B$3, 2)</f>
        <v>28.84</v>
      </c>
      <c r="Q30" s="22">
        <f>TRUNC([APLICAÇÃO] * 2  * SETUP!$C$3, 2)</f>
        <v>72.88</v>
      </c>
      <c r="R30" s="22">
        <f>TRUNC(SETUP!$G$3  * SETUP!$H$3, 2)</f>
        <v>0.28999999999999998</v>
      </c>
      <c r="S30" s="22">
        <f>ROUND(SETUP!$G$3 * SETUP!$I$3, 2)</f>
        <v>0.57999999999999996</v>
      </c>
      <c r="T30" s="22">
        <f>SETUP!$G$3 + SUM(Tabela13[[#This Row],[EMOL VD]]:Tabela13[[#This Row],[OUTRAS VD]])</f>
        <v>156.29</v>
      </c>
      <c r="U30" s="22">
        <f>((([APLICAÇÃO] * 2) - [TAXA VD]) - ([APLICAÇÃO] + [TAXA CP])) * 0.85</f>
        <v>44365.248500000016</v>
      </c>
      <c r="V30" s="22">
        <f>IF([LUCRO] &lt; 0, 0, ROUND([LUCRO]*80%, 2))</f>
        <v>35492.199999999997</v>
      </c>
      <c r="W30" s="22">
        <f>[LUCRO]-[PROTEÇÃO MÊS]</f>
        <v>8873.0500000000029</v>
      </c>
      <c r="X30" s="51">
        <f>SUMPRODUCT(N([TRADE] &lt;= Tabela13[[#This Row],[TRADE]]), [PROTEÇÃO MÊS]) - [APORTE RF]</f>
        <v>234039.20999999996</v>
      </c>
      <c r="Y30" s="22">
        <f>[TOT RF] + [REINVESTIR] + [APLICAÇÃO]</f>
        <v>295348.99</v>
      </c>
      <c r="Z30" s="24">
        <f>IF(AND([PROTEÇÃO MÊS] &gt; 0, ([TOT RF] - [PROTEÇÃO MÊS]) &gt; 0), [PROTEÇÃO MÊS] / ([TOT RF] - [PROTEÇÃO MÊS]), 0)</f>
        <v>0.17875968013822019</v>
      </c>
    </row>
    <row r="31" spans="1:26">
      <c r="A31" s="1">
        <v>30</v>
      </c>
      <c r="B31" s="26">
        <v>41883</v>
      </c>
      <c r="C31" s="21"/>
      <c r="D31" s="21"/>
      <c r="E31" s="21">
        <v>51961.7</v>
      </c>
      <c r="F31" s="22">
        <f>100</f>
        <v>100</v>
      </c>
      <c r="G31" s="22">
        <f>SUMPRODUCT(N([TRADE] &lt;= Tabela13[[#This Row],[TRADE]]), [APORTE]) + SUMPRODUCT(N([TRADE] &lt;= Tabela13[[#This Row],[TRADE]]), [APORTE RF])</f>
        <v>2900</v>
      </c>
      <c r="H31" s="22">
        <f>[MONTANTE] - SUMPRODUCT(N([TRADE] &lt;= Tabela13[[#This Row],[TRADE]]), [SAQUE]) + SUMPRODUCT(N([TRADE] &lt; Tabela13[[#This Row],[TRADE]]), [REINVESTIR])</f>
        <v>61409.780000000013</v>
      </c>
      <c r="I31" s="22">
        <f>TRUNC([APLICAÇÃO]  * SETUP!$A$3, 2)</f>
        <v>22.72</v>
      </c>
      <c r="J31" s="22">
        <f>TRUNC([APLICAÇÃO]  * SETUP!$B$3, 2)</f>
        <v>16.88</v>
      </c>
      <c r="K31" s="22">
        <f>TRUNC([APLICAÇÃO]  * SETUP!$C$3, 2)</f>
        <v>42.67</v>
      </c>
      <c r="L31" s="22">
        <f>TRUNC(SETUP!$G$3  * SETUP!$H$3, 2)</f>
        <v>0.28999999999999998</v>
      </c>
      <c r="M31" s="22">
        <f>ROUND(SETUP!$G$3 * SETUP!$I$3, 2)</f>
        <v>0.57999999999999996</v>
      </c>
      <c r="N31" s="22">
        <f>SETUP!$G$3 + SUM(Tabela13[[#This Row],[EMOL CP]]:Tabela13[[#This Row],[OUTRAS CP]])</f>
        <v>98.04</v>
      </c>
      <c r="O31" s="22">
        <f>TRUNC([APLICAÇÃO] * 2  * SETUP!$A$3, 2)</f>
        <v>45.44</v>
      </c>
      <c r="P31" s="22">
        <f>TRUNC([APLICAÇÃO] * 2  * SETUP!$B$3, 2)</f>
        <v>33.770000000000003</v>
      </c>
      <c r="Q31" s="22">
        <f>TRUNC([APLICAÇÃO] * 2  * SETUP!$C$3, 2)</f>
        <v>85.35</v>
      </c>
      <c r="R31" s="22">
        <f>TRUNC(SETUP!$G$3  * SETUP!$H$3, 2)</f>
        <v>0.28999999999999998</v>
      </c>
      <c r="S31" s="22">
        <f>ROUND(SETUP!$G$3 * SETUP!$I$3, 2)</f>
        <v>0.57999999999999996</v>
      </c>
      <c r="T31" s="22">
        <f>SETUP!$G$3 + SUM(Tabela13[[#This Row],[EMOL VD]]:Tabela13[[#This Row],[OUTRAS VD]])</f>
        <v>180.33</v>
      </c>
      <c r="U31" s="22">
        <f>((([APLICAÇÃO] * 2) - [TAXA VD]) - ([APLICAÇÃO] + [TAXA CP])) * 0.85</f>
        <v>51961.698500000006</v>
      </c>
      <c r="V31" s="22">
        <f>IF([LUCRO] &lt; 0, 0, ROUND([LUCRO]*80%, 2))</f>
        <v>41569.360000000001</v>
      </c>
      <c r="W31" s="22">
        <f>[LUCRO]-[PROTEÇÃO MÊS]</f>
        <v>10392.339999999997</v>
      </c>
      <c r="X31" s="51">
        <f>SUMPRODUCT(N([TRADE] &lt;= Tabela13[[#This Row],[TRADE]]), [PROTEÇÃO MÊS]) - [APORTE RF]</f>
        <v>275608.56999999995</v>
      </c>
      <c r="Y31" s="22">
        <f>[TOT RF] + [REINVESTIR] + [APLICAÇÃO]</f>
        <v>347410.68999999994</v>
      </c>
      <c r="Z31" s="24">
        <f>IF(AND([PROTEÇÃO MÊS] &gt; 0, ([TOT RF] - [PROTEÇÃO MÊS]) &gt; 0), [PROTEÇÃO MÊS] / ([TOT RF] - [PROTEÇÃO MÊS]), 0)</f>
        <v>0.17761707536100471</v>
      </c>
    </row>
    <row r="32" spans="1:26">
      <c r="A32" s="1" t="s">
        <v>37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52"/>
      <c r="Y32" s="16"/>
      <c r="Z32" s="15"/>
    </row>
  </sheetData>
  <pageMargins left="0.511811024" right="0.511811024" top="0.78740157499999996" bottom="0.78740157499999996" header="0.31496062000000002" footer="0.31496062000000002"/>
  <ignoredErrors>
    <ignoredError sqref="F2:F3 F4:F30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C32"/>
  <sheetViews>
    <sheetView workbookViewId="0">
      <selection activeCell="I5" sqref="I5"/>
    </sheetView>
  </sheetViews>
  <sheetFormatPr defaultRowHeight="11.25"/>
  <cols>
    <col min="1" max="1" width="7.5703125" style="1" bestFit="1" customWidth="1"/>
    <col min="2" max="2" width="9" style="1" bestFit="1" customWidth="1"/>
    <col min="3" max="3" width="11.570312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2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5">
        <v>41000</v>
      </c>
      <c r="C2" s="3">
        <v>0</v>
      </c>
      <c r="D2" s="3">
        <v>0</v>
      </c>
      <c r="E2" s="3">
        <v>0</v>
      </c>
      <c r="G2" s="3">
        <f>100</f>
        <v>100</v>
      </c>
      <c r="H2" s="3">
        <f>SUMPRODUCT(N([TRADE] &lt;= Tabela134[[#This Row],[TRADE]]), [APORTE]) + SUMPRODUCT(N([TRADE] &lt;= Tabela134[[#This Row],[TRADE]]), [APORTE RF])</f>
        <v>2900</v>
      </c>
      <c r="I2" s="3">
        <f>[MONTANTE] - SUMPRODUCT(N([TRADE] &lt;= Tabela134[[#This Row],[TRADE]]), [SAQUE]) + SUMPRODUCT(N([TRADE] &lt; Tabela134[[#This Row],[TRADE]]), [REINVESTIR])</f>
        <v>2900</v>
      </c>
      <c r="J2" s="3">
        <f>TRUNC([APLICAÇÃO]  * SETUP!$A$3, 2)</f>
        <v>1.07</v>
      </c>
      <c r="K2" s="3">
        <f>TRUNC([APLICAÇÃO]  * SETUP!$B$3, 2)</f>
        <v>0.79</v>
      </c>
      <c r="L2" s="3">
        <f>TRUNC([APLICAÇÃO]  * SETUP!$C$3, 2)</f>
        <v>2.0099999999999998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SUM(Tabela134[[#This Row],[EMOL CP]]:Tabela134[[#This Row],[OUTRAS CP]])</f>
        <v>19.64</v>
      </c>
      <c r="P2" s="3">
        <f>TRUNC([APLICAÇÃO] * 2  * SETUP!$A$3, 2)</f>
        <v>2.14</v>
      </c>
      <c r="Q2" s="3">
        <f>TRUNC([APLICAÇÃO] * 2  * SETUP!$B$3, 2)</f>
        <v>1.59</v>
      </c>
      <c r="R2" s="3">
        <f>TRUNC([APLICAÇÃO] * 2  * SETUP!$C$3, 2)</f>
        <v>4.03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SUM(Tabela134[[#This Row],[EMOL VD]]:Tabela134[[#This Row],[OUTRAS VD]])</f>
        <v>23.53</v>
      </c>
      <c r="V2" s="3">
        <f>((([APLICAÇÃO] * 2) - [TAXA VD]) - ([APLICAÇÃO] + [TAXA CP])) * 0.85</f>
        <v>2428.3055000000004</v>
      </c>
      <c r="W2" s="11">
        <f>[APLICAÇÃO] - (ROUND([RENDA FIXA] * 0.1,2))</f>
        <v>2900</v>
      </c>
      <c r="X2" s="4">
        <f>Tabela134[[#This Row],[PERDA MAX]]/Tabela134[[#This Row],[APLICAÇÃO]]</f>
        <v>1</v>
      </c>
      <c r="Y2" s="4">
        <f>IF([LUCRO] &lt; ([RENDA FIXA]/2), 0.8, 0.8)</f>
        <v>0.8</v>
      </c>
      <c r="Z2" s="3">
        <f>IF([LUCRO] &lt; 0, 0, ROUND([LUCRO]*[NO BOLSO], 2))</f>
        <v>0</v>
      </c>
      <c r="AA2" s="3">
        <f>[LUCRO]-[PROTEÇÃO MÊS]</f>
        <v>0</v>
      </c>
      <c r="AB2" s="3">
        <f>[RENDA FIXA] + [PROTEÇÃO MÊS] - [APORTE RF]</f>
        <v>0</v>
      </c>
      <c r="AC2" s="6">
        <f>[TOT RF] + [REINVESTIR] + [APLICAÇÃO]</f>
        <v>2900</v>
      </c>
    </row>
    <row r="3" spans="1:29">
      <c r="A3" s="1">
        <v>2</v>
      </c>
      <c r="B3" s="5">
        <v>41030</v>
      </c>
      <c r="C3" s="3">
        <v>0</v>
      </c>
      <c r="D3" s="3"/>
      <c r="E3" s="3"/>
      <c r="F3" s="3">
        <v>-59.79</v>
      </c>
      <c r="G3" s="6">
        <v>0</v>
      </c>
      <c r="H3" s="6">
        <f>SUMPRODUCT(N([TRADE] &lt;= Tabela134[[#This Row],[TRADE]]), [APORTE]) + SUMPRODUCT(N([TRADE] &lt;= Tabela134[[#This Row],[TRADE]]), [APORTE RF])</f>
        <v>2900</v>
      </c>
      <c r="I3" s="6">
        <f>[MONTANTE] - SUMPRODUCT(N([TRADE] &lt;= Tabela134[[#This Row],[TRADE]]), [SAQUE]) + SUMPRODUCT(N([TRADE] &lt; Tabela134[[#This Row],[TRADE]]), [REINVESTIR])</f>
        <v>2900</v>
      </c>
      <c r="J3" s="6">
        <f>TRUNC([APLICAÇÃO]  * SETUP!$A$3, 2)</f>
        <v>1.07</v>
      </c>
      <c r="K3" s="6">
        <f>TRUNC([APLICAÇÃO]  * SETUP!$B$3, 2)</f>
        <v>0.79</v>
      </c>
      <c r="L3" s="6">
        <f>TRUNC([APLICAÇÃO]  * SETUP!$C$3, 2)</f>
        <v>2.0099999999999998</v>
      </c>
      <c r="M3" s="6">
        <f>TRUNC(SETUP!$G$3  * SETUP!$H$3, 2)</f>
        <v>0.28999999999999998</v>
      </c>
      <c r="N3" s="6">
        <f>ROUND(SETUP!$G$3 * SETUP!$I$3, 2)</f>
        <v>0.57999999999999996</v>
      </c>
      <c r="O3" s="6">
        <f>SETUP!$G$3 + SUM(Tabela134[[#This Row],[EMOL CP]]:Tabela134[[#This Row],[OUTRAS CP]])</f>
        <v>19.64</v>
      </c>
      <c r="P3" s="6">
        <f>TRUNC([APLICAÇÃO] * 2  * SETUP!$A$3, 2)</f>
        <v>2.14</v>
      </c>
      <c r="Q3" s="6">
        <f>TRUNC([APLICAÇÃO] * 2  * SETUP!$B$3, 2)</f>
        <v>1.59</v>
      </c>
      <c r="R3" s="6">
        <f>TRUNC([APLICAÇÃO] * 2  * SETUP!$C$3, 2)</f>
        <v>4.03</v>
      </c>
      <c r="S3" s="6">
        <f>TRUNC(SETUP!$G$3  * SETUP!$H$3, 2)</f>
        <v>0.28999999999999998</v>
      </c>
      <c r="T3" s="6">
        <f>ROUND(SETUP!$G$3 * SETUP!$I$3, 2)</f>
        <v>0.57999999999999996</v>
      </c>
      <c r="U3" s="6">
        <f>SETUP!$G$3 + SUM(Tabela134[[#This Row],[EMOL VD]]:Tabela134[[#This Row],[OUTRAS VD]])</f>
        <v>23.53</v>
      </c>
      <c r="V3" s="6">
        <f>((([APLICAÇÃO] * 2) - [TAXA VD]) - ([APLICAÇÃO] + [TAXA CP])) * 0.85</f>
        <v>2428.3055000000004</v>
      </c>
      <c r="W3" s="14">
        <f>[APLICAÇÃO] - (ROUND([RENDA FIXA] * 0.1,2))</f>
        <v>2900</v>
      </c>
      <c r="X3" s="4">
        <f>Tabela134[[#This Row],[PERDA MAX]]/Tabela134[[#This Row],[APLICAÇÃO]]</f>
        <v>1</v>
      </c>
      <c r="Y3" s="15">
        <f>IF([LUCRO] &lt; ([RENDA FIXA]/2), 0.8, 0.8)</f>
        <v>0.8</v>
      </c>
      <c r="Z3" s="6">
        <f>IF([LUCRO] &lt; 0, 0, ROUND([LUCRO]*[NO BOLSO], 2))</f>
        <v>0</v>
      </c>
      <c r="AA3" s="6">
        <f>[LUCRO]-[PROTEÇÃO MÊS]</f>
        <v>-59.79</v>
      </c>
      <c r="AB3" s="6">
        <f>[RENDA FIXA] + [PROTEÇÃO MÊS] - [APORTE RF]</f>
        <v>0</v>
      </c>
      <c r="AC3" s="6">
        <f>[TOT RF] + [REINVESTIR] + [APLICAÇÃO]</f>
        <v>2840.21</v>
      </c>
    </row>
    <row r="4" spans="1:29">
      <c r="A4" s="29"/>
      <c r="B4" s="37"/>
      <c r="C4" s="30"/>
      <c r="D4" s="30"/>
      <c r="E4" s="30"/>
      <c r="F4" s="30"/>
      <c r="G4" s="31">
        <f>100</f>
        <v>100</v>
      </c>
      <c r="H4" s="31">
        <f>SUMPRODUCT(N([TRADE] &lt;= Tabela134[[#This Row],[TRADE]]), [APORTE]) + SUMPRODUCT(N([TRADE] &lt;= Tabela134[[#This Row],[TRADE]]), [APORTE RF])</f>
        <v>2800</v>
      </c>
      <c r="I4" s="31">
        <f>[MONTANTE] - SUMPRODUCT(N([TRADE] &lt;= Tabela134[[#This Row],[TRADE]]), [SAQUE]) + SUMPRODUCT(N([TRADE] &lt; Tabela134[[#This Row],[TRADE]]), [REINVESTIR])</f>
        <v>2800</v>
      </c>
      <c r="J4" s="31">
        <f>TRUNC([APLICAÇÃO]  * SETUP!$A$3, 2)</f>
        <v>1.03</v>
      </c>
      <c r="K4" s="31">
        <f>TRUNC([APLICAÇÃO]  * SETUP!$B$3, 2)</f>
        <v>0.77</v>
      </c>
      <c r="L4" s="31">
        <f>TRUNC([APLICAÇÃO]  * SETUP!$C$3, 2)</f>
        <v>1.94</v>
      </c>
      <c r="M4" s="31">
        <f>TRUNC(SETUP!$G$3  * SETUP!$H$3, 2)</f>
        <v>0.28999999999999998</v>
      </c>
      <c r="N4" s="31">
        <f>ROUND(SETUP!$G$3 * SETUP!$I$3, 2)</f>
        <v>0.57999999999999996</v>
      </c>
      <c r="O4" s="31">
        <f>SETUP!$G$3 + SUM(Tabela134[[#This Row],[EMOL CP]]:Tabela134[[#This Row],[OUTRAS CP]])</f>
        <v>19.510000000000002</v>
      </c>
      <c r="P4" s="31">
        <f>TRUNC([APLICAÇÃO] * 2  * SETUP!$A$3, 2)</f>
        <v>2.0699999999999998</v>
      </c>
      <c r="Q4" s="31">
        <f>TRUNC([APLICAÇÃO] * 2  * SETUP!$B$3, 2)</f>
        <v>1.54</v>
      </c>
      <c r="R4" s="31">
        <f>TRUNC([APLICAÇÃO] * 2  * SETUP!$C$3, 2)</f>
        <v>3.89</v>
      </c>
      <c r="S4" s="31">
        <f>TRUNC(SETUP!$G$3  * SETUP!$H$3, 2)</f>
        <v>0.28999999999999998</v>
      </c>
      <c r="T4" s="31">
        <f>ROUND(SETUP!$G$3 * SETUP!$I$3, 2)</f>
        <v>0.57999999999999996</v>
      </c>
      <c r="U4" s="31">
        <f>SETUP!$G$3 + SUM(Tabela134[[#This Row],[EMOL VD]]:Tabela134[[#This Row],[OUTRAS VD]])</f>
        <v>23.27</v>
      </c>
      <c r="V4" s="31">
        <f>((([APLICAÇÃO] * 2) - [TAXA VD]) - ([APLICAÇÃO] + [TAXA CP])) * 0.85</f>
        <v>2343.6369999999993</v>
      </c>
      <c r="W4" s="32">
        <f>[APLICAÇÃO] - (ROUND([RENDA FIXA] * 0.1,2))</f>
        <v>2800</v>
      </c>
      <c r="X4" s="33">
        <f>Tabela134[[#This Row],[PERDA MAX]]/Tabela134[[#This Row],[APLICAÇÃO]]</f>
        <v>1</v>
      </c>
      <c r="Y4" s="34">
        <f>IF([LUCRO] &lt; ([RENDA FIXA]/2), 0.8, 0.8)</f>
        <v>0.8</v>
      </c>
      <c r="Z4" s="31">
        <f>IF([LUCRO] &lt; 0, 0, ROUND([LUCRO]*[NO BOLSO], 2))</f>
        <v>0</v>
      </c>
      <c r="AA4" s="31">
        <f>[LUCRO]-[PROTEÇÃO MÊS]</f>
        <v>0</v>
      </c>
      <c r="AB4" s="31">
        <f>[RENDA FIXA] + [PROTEÇÃO MÊS] - [APORTE RF]</f>
        <v>0</v>
      </c>
      <c r="AC4" s="31">
        <f>[TOT RF] + [REINVESTIR] + [APLICAÇÃO]</f>
        <v>2800</v>
      </c>
    </row>
    <row r="5" spans="1:29">
      <c r="B5" s="45"/>
      <c r="C5" s="3"/>
      <c r="D5" s="3"/>
      <c r="E5" s="3"/>
      <c r="G5" s="6">
        <f>100</f>
        <v>100</v>
      </c>
      <c r="H5" s="6">
        <f>SUMPRODUCT(N([TRADE] &lt;= Tabela134[[#This Row],[TRADE]]), [APORTE]) + SUMPRODUCT(N([TRADE] &lt;= Tabela134[[#This Row],[TRADE]]), [APORTE RF])</f>
        <v>2800</v>
      </c>
      <c r="I5" s="6">
        <f>[MONTANTE] - SUMPRODUCT(N([TRADE] &lt;= Tabela134[[#This Row],[TRADE]]), [SAQUE]) + SUMPRODUCT(N([TRADE] &lt; Tabela134[[#This Row],[TRADE]]), [REINVESTIR])</f>
        <v>2800</v>
      </c>
      <c r="J5" s="6">
        <f>TRUNC([APLICAÇÃO]  * SETUP!$A$3, 2)</f>
        <v>1.03</v>
      </c>
      <c r="K5" s="6">
        <f>TRUNC([APLICAÇÃO]  * SETUP!$B$3, 2)</f>
        <v>0.77</v>
      </c>
      <c r="L5" s="6">
        <f>TRUNC([APLICAÇÃO]  * SETUP!$C$3, 2)</f>
        <v>1.94</v>
      </c>
      <c r="M5" s="6">
        <f>TRUNC(SETUP!$G$3  * SETUP!$H$3, 2)</f>
        <v>0.28999999999999998</v>
      </c>
      <c r="N5" s="6">
        <f>ROUND(SETUP!$G$3 * SETUP!$I$3, 2)</f>
        <v>0.57999999999999996</v>
      </c>
      <c r="O5" s="6">
        <f>SETUP!$G$3 + SUM(Tabela134[[#This Row],[EMOL CP]]:Tabela134[[#This Row],[OUTRAS CP]])</f>
        <v>19.510000000000002</v>
      </c>
      <c r="P5" s="6">
        <f>TRUNC([APLICAÇÃO] * 2  * SETUP!$A$3, 2)</f>
        <v>2.0699999999999998</v>
      </c>
      <c r="Q5" s="6">
        <f>TRUNC([APLICAÇÃO] * 2  * SETUP!$B$3, 2)</f>
        <v>1.54</v>
      </c>
      <c r="R5" s="6">
        <f>TRUNC([APLICAÇÃO] * 2  * SETUP!$C$3, 2)</f>
        <v>3.89</v>
      </c>
      <c r="S5" s="6">
        <f>TRUNC(SETUP!$G$3  * SETUP!$H$3, 2)</f>
        <v>0.28999999999999998</v>
      </c>
      <c r="T5" s="6">
        <f>ROUND(SETUP!$G$3 * SETUP!$I$3, 2)</f>
        <v>0.57999999999999996</v>
      </c>
      <c r="U5" s="6">
        <f>SETUP!$G$3 + SUM(Tabela134[[#This Row],[EMOL VD]]:Tabela134[[#This Row],[OUTRAS VD]])</f>
        <v>23.27</v>
      </c>
      <c r="V5" s="6">
        <f>((([APLICAÇÃO] * 2) - [TAXA VD]) - ([APLICAÇÃO] + [TAXA CP])) * 0.85</f>
        <v>2343.6369999999993</v>
      </c>
      <c r="W5" s="14">
        <f>[APLICAÇÃO] - (ROUND([RENDA FIXA] * 0.1,2))</f>
        <v>2800</v>
      </c>
      <c r="X5" s="4">
        <f>Tabela134[[#This Row],[PERDA MAX]]/Tabela134[[#This Row],[APLICAÇÃO]]</f>
        <v>1</v>
      </c>
      <c r="Y5" s="15">
        <f>IF([LUCRO] &lt; ([RENDA FIXA]/2), 0.8, 0.8)</f>
        <v>0.8</v>
      </c>
      <c r="Z5" s="6">
        <f>IF([LUCRO] &lt; 0, 0, ROUND([LUCRO]*[NO BOLSO], 2))</f>
        <v>0</v>
      </c>
      <c r="AA5" s="6">
        <f>[LUCRO]-[PROTEÇÃO MÊS]</f>
        <v>0</v>
      </c>
      <c r="AB5" s="6">
        <f>[RENDA FIXA] + [PROTEÇÃO MÊS] - [APORTE RF]</f>
        <v>0</v>
      </c>
      <c r="AC5" s="6">
        <f>[TOT RF] + [REINVESTIR] + [APLICAÇÃO]</f>
        <v>2800</v>
      </c>
    </row>
    <row r="6" spans="1:29">
      <c r="B6" s="45"/>
      <c r="C6" s="3"/>
      <c r="D6" s="3"/>
      <c r="E6" s="3"/>
      <c r="G6" s="6">
        <f>100</f>
        <v>100</v>
      </c>
      <c r="H6" s="6">
        <f>SUMPRODUCT(N([TRADE] &lt;= Tabela134[[#This Row],[TRADE]]), [APORTE]) + SUMPRODUCT(N([TRADE] &lt;= Tabela134[[#This Row],[TRADE]]), [APORTE RF])</f>
        <v>2800</v>
      </c>
      <c r="I6" s="6">
        <f>[MONTANTE] - SUMPRODUCT(N([TRADE] &lt;= Tabela134[[#This Row],[TRADE]]), [SAQUE]) + SUMPRODUCT(N([TRADE] &lt; Tabela134[[#This Row],[TRADE]]), [REINVESTIR])</f>
        <v>2800</v>
      </c>
      <c r="J6" s="6">
        <f>TRUNC([APLICAÇÃO]  * SETUP!$A$3, 2)</f>
        <v>1.03</v>
      </c>
      <c r="K6" s="6">
        <f>TRUNC([APLICAÇÃO]  * SETUP!$B$3, 2)</f>
        <v>0.77</v>
      </c>
      <c r="L6" s="6">
        <f>TRUNC([APLICAÇÃO]  * SETUP!$C$3, 2)</f>
        <v>1.94</v>
      </c>
      <c r="M6" s="6">
        <f>TRUNC(SETUP!$G$3  * SETUP!$H$3, 2)</f>
        <v>0.28999999999999998</v>
      </c>
      <c r="N6" s="6">
        <f>ROUND(SETUP!$G$3 * SETUP!$I$3, 2)</f>
        <v>0.57999999999999996</v>
      </c>
      <c r="O6" s="6">
        <f>SETUP!$G$3 + SUM(Tabela134[[#This Row],[EMOL CP]]:Tabela134[[#This Row],[OUTRAS CP]])</f>
        <v>19.510000000000002</v>
      </c>
      <c r="P6" s="6">
        <f>TRUNC([APLICAÇÃO] * 2  * SETUP!$A$3, 2)</f>
        <v>2.0699999999999998</v>
      </c>
      <c r="Q6" s="6">
        <f>TRUNC([APLICAÇÃO] * 2  * SETUP!$B$3, 2)</f>
        <v>1.54</v>
      </c>
      <c r="R6" s="6">
        <f>TRUNC([APLICAÇÃO] * 2  * SETUP!$C$3, 2)</f>
        <v>3.89</v>
      </c>
      <c r="S6" s="6">
        <f>TRUNC(SETUP!$G$3  * SETUP!$H$3, 2)</f>
        <v>0.28999999999999998</v>
      </c>
      <c r="T6" s="6">
        <f>ROUND(SETUP!$G$3 * SETUP!$I$3, 2)</f>
        <v>0.57999999999999996</v>
      </c>
      <c r="U6" s="6">
        <f>SETUP!$G$3 + SUM(Tabela134[[#This Row],[EMOL VD]]:Tabela134[[#This Row],[OUTRAS VD]])</f>
        <v>23.27</v>
      </c>
      <c r="V6" s="6">
        <f>((([APLICAÇÃO] * 2) - [TAXA VD]) - ([APLICAÇÃO] + [TAXA CP])) * 0.85</f>
        <v>2343.6369999999993</v>
      </c>
      <c r="W6" s="14">
        <f>[APLICAÇÃO] - (ROUND([RENDA FIXA] * 0.1,2))</f>
        <v>2800</v>
      </c>
      <c r="X6" s="4">
        <f>Tabela134[[#This Row],[PERDA MAX]]/Tabela134[[#This Row],[APLICAÇÃO]]</f>
        <v>1</v>
      </c>
      <c r="Y6" s="15">
        <f>IF([LUCRO] &lt; ([RENDA FIXA]/2), 0.8, 0.8)</f>
        <v>0.8</v>
      </c>
      <c r="Z6" s="6">
        <f>IF([LUCRO] &lt; 0, 0, ROUND([LUCRO]*[NO BOLSO], 2))</f>
        <v>0</v>
      </c>
      <c r="AA6" s="6">
        <f>[LUCRO]-[PROTEÇÃO MÊS]</f>
        <v>0</v>
      </c>
      <c r="AB6" s="6">
        <f>[RENDA FIXA] + [PROTEÇÃO MÊS] - [APORTE RF]</f>
        <v>0</v>
      </c>
      <c r="AC6" s="6">
        <f>[TOT RF] + [REINVESTIR] + [APLICAÇÃO]</f>
        <v>2800</v>
      </c>
    </row>
    <row r="7" spans="1:29">
      <c r="B7" s="45"/>
      <c r="C7" s="3"/>
      <c r="D7" s="3"/>
      <c r="E7" s="3"/>
      <c r="G7" s="6">
        <f>100</f>
        <v>100</v>
      </c>
      <c r="H7" s="6">
        <f>SUMPRODUCT(N([TRADE] &lt;= Tabela134[[#This Row],[TRADE]]), [APORTE]) + SUMPRODUCT(N([TRADE] &lt;= Tabela134[[#This Row],[TRADE]]), [APORTE RF])</f>
        <v>2800</v>
      </c>
      <c r="I7" s="6">
        <f>[MONTANTE] - SUMPRODUCT(N([TRADE] &lt;= Tabela134[[#This Row],[TRADE]]), [SAQUE]) + SUMPRODUCT(N([TRADE] &lt; Tabela134[[#This Row],[TRADE]]), [REINVESTIR])</f>
        <v>2800</v>
      </c>
      <c r="J7" s="6">
        <f>TRUNC([APLICAÇÃO]  * SETUP!$A$3, 2)</f>
        <v>1.03</v>
      </c>
      <c r="K7" s="6">
        <f>TRUNC([APLICAÇÃO]  * SETUP!$B$3, 2)</f>
        <v>0.77</v>
      </c>
      <c r="L7" s="6">
        <f>TRUNC([APLICAÇÃO]  * SETUP!$C$3, 2)</f>
        <v>1.94</v>
      </c>
      <c r="M7" s="6">
        <f>TRUNC(SETUP!$G$3  * SETUP!$H$3, 2)</f>
        <v>0.28999999999999998</v>
      </c>
      <c r="N7" s="6">
        <f>ROUND(SETUP!$G$3 * SETUP!$I$3, 2)</f>
        <v>0.57999999999999996</v>
      </c>
      <c r="O7" s="6">
        <f>SETUP!$G$3 + SUM(Tabela134[[#This Row],[EMOL CP]]:Tabela134[[#This Row],[OUTRAS CP]])</f>
        <v>19.510000000000002</v>
      </c>
      <c r="P7" s="6">
        <f>TRUNC([APLICAÇÃO] * 2  * SETUP!$A$3, 2)</f>
        <v>2.0699999999999998</v>
      </c>
      <c r="Q7" s="6">
        <f>TRUNC([APLICAÇÃO] * 2  * SETUP!$B$3, 2)</f>
        <v>1.54</v>
      </c>
      <c r="R7" s="6">
        <f>TRUNC([APLICAÇÃO] * 2  * SETUP!$C$3, 2)</f>
        <v>3.89</v>
      </c>
      <c r="S7" s="6">
        <f>TRUNC(SETUP!$G$3  * SETUP!$H$3, 2)</f>
        <v>0.28999999999999998</v>
      </c>
      <c r="T7" s="6">
        <f>ROUND(SETUP!$G$3 * SETUP!$I$3, 2)</f>
        <v>0.57999999999999996</v>
      </c>
      <c r="U7" s="6">
        <f>SETUP!$G$3 + SUM(Tabela134[[#This Row],[EMOL VD]]:Tabela134[[#This Row],[OUTRAS VD]])</f>
        <v>23.27</v>
      </c>
      <c r="V7" s="6">
        <f>((([APLICAÇÃO] * 2) - [TAXA VD]) - ([APLICAÇÃO] + [TAXA CP])) * 0.85</f>
        <v>2343.6369999999993</v>
      </c>
      <c r="W7" s="14">
        <f>[APLICAÇÃO] - (ROUND([RENDA FIXA] * 0.1,2))</f>
        <v>2800</v>
      </c>
      <c r="X7" s="4">
        <f>Tabela134[[#This Row],[PERDA MAX]]/Tabela134[[#This Row],[APLICAÇÃO]]</f>
        <v>1</v>
      </c>
      <c r="Y7" s="15">
        <f>IF([LUCRO] &lt; ([RENDA FIXA]/2), 0.8, 0.8)</f>
        <v>0.8</v>
      </c>
      <c r="Z7" s="6">
        <f>IF([LUCRO] &lt; 0, 0, ROUND([LUCRO]*[NO BOLSO], 2))</f>
        <v>0</v>
      </c>
      <c r="AA7" s="6">
        <f>[LUCRO]-[PROTEÇÃO MÊS]</f>
        <v>0</v>
      </c>
      <c r="AB7" s="6">
        <f>[RENDA FIXA] + [PROTEÇÃO MÊS] - [APORTE RF]</f>
        <v>0</v>
      </c>
      <c r="AC7" s="6">
        <f>[TOT RF] + [REINVESTIR] + [APLICAÇÃO]</f>
        <v>2800</v>
      </c>
    </row>
    <row r="8" spans="1:29">
      <c r="B8" s="45"/>
      <c r="C8" s="3"/>
      <c r="D8" s="3"/>
      <c r="E8" s="3"/>
      <c r="G8" s="6">
        <f>100</f>
        <v>100</v>
      </c>
      <c r="H8" s="6">
        <f>SUMPRODUCT(N([TRADE] &lt;= Tabela134[[#This Row],[TRADE]]), [APORTE]) + SUMPRODUCT(N([TRADE] &lt;= Tabela134[[#This Row],[TRADE]]), [APORTE RF])</f>
        <v>2800</v>
      </c>
      <c r="I8" s="6">
        <f>[MONTANTE] - SUMPRODUCT(N([TRADE] &lt;= Tabela134[[#This Row],[TRADE]]), [SAQUE]) + SUMPRODUCT(N([TRADE] &lt; Tabela134[[#This Row],[TRADE]]), [REINVESTIR])</f>
        <v>2800</v>
      </c>
      <c r="J8" s="6">
        <f>TRUNC([APLICAÇÃO]  * SETUP!$A$3, 2)</f>
        <v>1.03</v>
      </c>
      <c r="K8" s="6">
        <f>TRUNC([APLICAÇÃO]  * SETUP!$B$3, 2)</f>
        <v>0.77</v>
      </c>
      <c r="L8" s="6">
        <f>TRUNC([APLICAÇÃO]  * SETUP!$C$3, 2)</f>
        <v>1.94</v>
      </c>
      <c r="M8" s="6">
        <f>TRUNC(SETUP!$G$3  * SETUP!$H$3, 2)</f>
        <v>0.28999999999999998</v>
      </c>
      <c r="N8" s="6">
        <f>ROUND(SETUP!$G$3 * SETUP!$I$3, 2)</f>
        <v>0.57999999999999996</v>
      </c>
      <c r="O8" s="6">
        <f>SETUP!$G$3 + SUM(Tabela134[[#This Row],[EMOL CP]]:Tabela134[[#This Row],[OUTRAS CP]])</f>
        <v>19.510000000000002</v>
      </c>
      <c r="P8" s="6">
        <f>TRUNC([APLICAÇÃO] * 2  * SETUP!$A$3, 2)</f>
        <v>2.0699999999999998</v>
      </c>
      <c r="Q8" s="6">
        <f>TRUNC([APLICAÇÃO] * 2  * SETUP!$B$3, 2)</f>
        <v>1.54</v>
      </c>
      <c r="R8" s="6">
        <f>TRUNC([APLICAÇÃO] * 2  * SETUP!$C$3, 2)</f>
        <v>3.89</v>
      </c>
      <c r="S8" s="6">
        <f>TRUNC(SETUP!$G$3  * SETUP!$H$3, 2)</f>
        <v>0.28999999999999998</v>
      </c>
      <c r="T8" s="6">
        <f>ROUND(SETUP!$G$3 * SETUP!$I$3, 2)</f>
        <v>0.57999999999999996</v>
      </c>
      <c r="U8" s="6">
        <f>SETUP!$G$3 + SUM(Tabela134[[#This Row],[EMOL VD]]:Tabela134[[#This Row],[OUTRAS VD]])</f>
        <v>23.27</v>
      </c>
      <c r="V8" s="6">
        <f>((([APLICAÇÃO] * 2) - [TAXA VD]) - ([APLICAÇÃO] + [TAXA CP])) * 0.85</f>
        <v>2343.6369999999993</v>
      </c>
      <c r="W8" s="14">
        <f>[APLICAÇÃO] - (ROUND([RENDA FIXA] * 0.1,2))</f>
        <v>2800</v>
      </c>
      <c r="X8" s="4">
        <f>Tabela134[[#This Row],[PERDA MAX]]/Tabela134[[#This Row],[APLICAÇÃO]]</f>
        <v>1</v>
      </c>
      <c r="Y8" s="15">
        <f>IF([LUCRO] &lt; ([RENDA FIXA]/2), 0.8, 0.8)</f>
        <v>0.8</v>
      </c>
      <c r="Z8" s="6">
        <f>IF([LUCRO] &lt; 0, 0, ROUND([LUCRO]*[NO BOLSO], 2))</f>
        <v>0</v>
      </c>
      <c r="AA8" s="6">
        <f>[LUCRO]-[PROTEÇÃO MÊS]</f>
        <v>0</v>
      </c>
      <c r="AB8" s="6">
        <f>[RENDA FIXA] + [PROTEÇÃO MÊS] - [APORTE RF]</f>
        <v>0</v>
      </c>
      <c r="AC8" s="6">
        <f>[TOT RF] + [REINVESTIR] + [APLICAÇÃO]</f>
        <v>2800</v>
      </c>
    </row>
    <row r="9" spans="1:29">
      <c r="A9" s="44"/>
      <c r="B9" s="46"/>
      <c r="C9" s="21"/>
      <c r="D9" s="21"/>
      <c r="E9" s="21"/>
      <c r="F9" s="21"/>
      <c r="G9" s="22">
        <f>100</f>
        <v>100</v>
      </c>
      <c r="H9" s="22">
        <f>SUMPRODUCT(N([TRADE] &lt;= Tabela134[[#This Row],[TRADE]]), [APORTE]) + SUMPRODUCT(N([TRADE] &lt;= Tabela134[[#This Row],[TRADE]]), [APORTE RF])</f>
        <v>2800</v>
      </c>
      <c r="I9" s="22">
        <f>[MONTANTE] - SUMPRODUCT(N([TRADE] &lt;= Tabela134[[#This Row],[TRADE]]), [SAQUE]) + SUMPRODUCT(N([TRADE] &lt; Tabela134[[#This Row],[TRADE]]), [REINVESTIR])</f>
        <v>2800</v>
      </c>
      <c r="J9" s="22">
        <f>TRUNC([APLICAÇÃO]  * SETUP!$A$3, 2)</f>
        <v>1.03</v>
      </c>
      <c r="K9" s="22">
        <f>TRUNC([APLICAÇÃO]  * SETUP!$B$3, 2)</f>
        <v>0.77</v>
      </c>
      <c r="L9" s="22">
        <f>TRUNC([APLICAÇÃO]  * SETUP!$C$3, 2)</f>
        <v>1.94</v>
      </c>
      <c r="M9" s="22">
        <f>TRUNC(SETUP!$G$3  * SETUP!$H$3, 2)</f>
        <v>0.28999999999999998</v>
      </c>
      <c r="N9" s="22">
        <f>ROUND(SETUP!$G$3 * SETUP!$I$3, 2)</f>
        <v>0.57999999999999996</v>
      </c>
      <c r="O9" s="22">
        <f>SETUP!$G$3 + SUM(Tabela134[[#This Row],[EMOL CP]]:Tabela134[[#This Row],[OUTRAS CP]])</f>
        <v>19.510000000000002</v>
      </c>
      <c r="P9" s="22">
        <f>TRUNC([APLICAÇÃO] * 2  * SETUP!$A$3, 2)</f>
        <v>2.0699999999999998</v>
      </c>
      <c r="Q9" s="22">
        <f>TRUNC([APLICAÇÃO] * 2  * SETUP!$B$3, 2)</f>
        <v>1.54</v>
      </c>
      <c r="R9" s="22">
        <f>TRUNC([APLICAÇÃO] * 2  * SETUP!$C$3, 2)</f>
        <v>3.89</v>
      </c>
      <c r="S9" s="22">
        <f>TRUNC(SETUP!$G$3  * SETUP!$H$3, 2)</f>
        <v>0.28999999999999998</v>
      </c>
      <c r="T9" s="22">
        <f>ROUND(SETUP!$G$3 * SETUP!$I$3, 2)</f>
        <v>0.57999999999999996</v>
      </c>
      <c r="U9" s="22">
        <f>SETUP!$G$3 + SUM(Tabela134[[#This Row],[EMOL VD]]:Tabela134[[#This Row],[OUTRAS VD]])</f>
        <v>23.27</v>
      </c>
      <c r="V9" s="22">
        <f>((([APLICAÇÃO] * 2) - [TAXA VD]) - ([APLICAÇÃO] + [TAXA CP])) * 0.85</f>
        <v>2343.6369999999993</v>
      </c>
      <c r="W9" s="23">
        <f>[APLICAÇÃO] - (ROUND([RENDA FIXA] * 0.1,2))</f>
        <v>2800</v>
      </c>
      <c r="X9" s="24">
        <f>Tabela134[[#This Row],[PERDA MAX]]/Tabela134[[#This Row],[APLICAÇÃO]]</f>
        <v>1</v>
      </c>
      <c r="Y9" s="25">
        <f>IF([LUCRO] &lt; ([RENDA FIXA]/2), 0.8, 0.8)</f>
        <v>0.8</v>
      </c>
      <c r="Z9" s="22">
        <f>IF([LUCRO] &lt; 0, 0, ROUND([LUCRO]*[NO BOLSO], 2))</f>
        <v>0</v>
      </c>
      <c r="AA9" s="22">
        <f>[LUCRO]-[PROTEÇÃO MÊS]</f>
        <v>0</v>
      </c>
      <c r="AB9" s="22">
        <f>[RENDA FIXA] + [PROTEÇÃO MÊS] - [APORTE RF]</f>
        <v>0</v>
      </c>
      <c r="AC9" s="22">
        <f>[TOT RF] + [REINVESTIR] + [APLICAÇÃO]</f>
        <v>2800</v>
      </c>
    </row>
    <row r="10" spans="1:29">
      <c r="A10" s="44"/>
      <c r="B10" s="46"/>
      <c r="C10" s="21"/>
      <c r="D10" s="21"/>
      <c r="E10" s="21"/>
      <c r="F10" s="21"/>
      <c r="G10" s="22">
        <f>100</f>
        <v>100</v>
      </c>
      <c r="H10" s="22">
        <f>SUMPRODUCT(N([TRADE] &lt;= Tabela134[[#This Row],[TRADE]]), [APORTE]) + SUMPRODUCT(N([TRADE] &lt;= Tabela134[[#This Row],[TRADE]]), [APORTE RF])</f>
        <v>2800</v>
      </c>
      <c r="I10" s="22">
        <f>[MONTANTE] - SUMPRODUCT(N([TRADE] &lt;= Tabela134[[#This Row],[TRADE]]), [SAQUE]) + SUMPRODUCT(N([TRADE] &lt; Tabela134[[#This Row],[TRADE]]), [REINVESTIR])</f>
        <v>2800</v>
      </c>
      <c r="J10" s="22">
        <f>TRUNC([APLICAÇÃO]  * SETUP!$A$3, 2)</f>
        <v>1.03</v>
      </c>
      <c r="K10" s="22">
        <f>TRUNC([APLICAÇÃO]  * SETUP!$B$3, 2)</f>
        <v>0.77</v>
      </c>
      <c r="L10" s="22">
        <f>TRUNC([APLICAÇÃO]  * SETUP!$C$3, 2)</f>
        <v>1.94</v>
      </c>
      <c r="M10" s="22">
        <f>TRUNC(SETUP!$G$3  * SETUP!$H$3, 2)</f>
        <v>0.28999999999999998</v>
      </c>
      <c r="N10" s="22">
        <f>ROUND(SETUP!$G$3 * SETUP!$I$3, 2)</f>
        <v>0.57999999999999996</v>
      </c>
      <c r="O10" s="22">
        <f>SETUP!$G$3 + SUM(Tabela134[[#This Row],[EMOL CP]]:Tabela134[[#This Row],[OUTRAS CP]])</f>
        <v>19.510000000000002</v>
      </c>
      <c r="P10" s="22">
        <f>TRUNC([APLICAÇÃO] * 2  * SETUP!$A$3, 2)</f>
        <v>2.0699999999999998</v>
      </c>
      <c r="Q10" s="22">
        <f>TRUNC([APLICAÇÃO] * 2  * SETUP!$B$3, 2)</f>
        <v>1.54</v>
      </c>
      <c r="R10" s="22">
        <f>TRUNC([APLICAÇÃO] * 2  * SETUP!$C$3, 2)</f>
        <v>3.89</v>
      </c>
      <c r="S10" s="22">
        <f>TRUNC(SETUP!$G$3  * SETUP!$H$3, 2)</f>
        <v>0.28999999999999998</v>
      </c>
      <c r="T10" s="22">
        <f>ROUND(SETUP!$G$3 * SETUP!$I$3, 2)</f>
        <v>0.57999999999999996</v>
      </c>
      <c r="U10" s="22">
        <f>SETUP!$G$3 + SUM(Tabela134[[#This Row],[EMOL VD]]:Tabela134[[#This Row],[OUTRAS VD]])</f>
        <v>23.27</v>
      </c>
      <c r="V10" s="22">
        <f>((([APLICAÇÃO] * 2) - [TAXA VD]) - ([APLICAÇÃO] + [TAXA CP])) * 0.85</f>
        <v>2343.6369999999993</v>
      </c>
      <c r="W10" s="23">
        <f>[APLICAÇÃO] - (ROUND([RENDA FIXA] * 0.1,2))</f>
        <v>2800</v>
      </c>
      <c r="X10" s="24">
        <f>Tabela134[[#This Row],[PERDA MAX]]/Tabela134[[#This Row],[APLICAÇÃO]]</f>
        <v>1</v>
      </c>
      <c r="Y10" s="25">
        <f>IF([LUCRO] &lt; ([RENDA FIXA]/2), 0.8, 0.8)</f>
        <v>0.8</v>
      </c>
      <c r="Z10" s="22">
        <f>IF([LUCRO] &lt; 0, 0, ROUND([LUCRO]*[NO BOLSO], 2))</f>
        <v>0</v>
      </c>
      <c r="AA10" s="22">
        <f>[LUCRO]-[PROTEÇÃO MÊS]</f>
        <v>0</v>
      </c>
      <c r="AB10" s="22">
        <f>[RENDA FIXA] + [PROTEÇÃO MÊS] - [APORTE RF]</f>
        <v>0</v>
      </c>
      <c r="AC10" s="22">
        <f>[TOT RF] + [REINVESTIR] + [APLICAÇÃO]</f>
        <v>2800</v>
      </c>
    </row>
    <row r="11" spans="1:29">
      <c r="B11" s="45"/>
      <c r="C11" s="3"/>
      <c r="D11" s="3"/>
      <c r="E11" s="3"/>
      <c r="G11" s="6">
        <f>100</f>
        <v>100</v>
      </c>
      <c r="H11" s="6">
        <f>SUMPRODUCT(N([TRADE] &lt;= Tabela134[[#This Row],[TRADE]]), [APORTE]) + SUMPRODUCT(N([TRADE] &lt;= Tabela134[[#This Row],[TRADE]]), [APORTE RF])</f>
        <v>2800</v>
      </c>
      <c r="I11" s="6">
        <f>[MONTANTE] - SUMPRODUCT(N([TRADE] &lt;= Tabela134[[#This Row],[TRADE]]), [SAQUE]) + SUMPRODUCT(N([TRADE] &lt; Tabela134[[#This Row],[TRADE]]), [REINVESTIR])</f>
        <v>2800</v>
      </c>
      <c r="J11" s="6">
        <f>TRUNC([APLICAÇÃO]  * SETUP!$A$3, 2)</f>
        <v>1.03</v>
      </c>
      <c r="K11" s="6">
        <f>TRUNC([APLICAÇÃO]  * SETUP!$B$3, 2)</f>
        <v>0.77</v>
      </c>
      <c r="L11" s="6">
        <f>TRUNC([APLICAÇÃO]  * SETUP!$C$3, 2)</f>
        <v>1.94</v>
      </c>
      <c r="M11" s="6">
        <f>TRUNC(SETUP!$G$3  * SETUP!$H$3, 2)</f>
        <v>0.28999999999999998</v>
      </c>
      <c r="N11" s="6">
        <f>ROUND(SETUP!$G$3 * SETUP!$I$3, 2)</f>
        <v>0.57999999999999996</v>
      </c>
      <c r="O11" s="6">
        <f>SETUP!$G$3 + SUM(Tabela134[[#This Row],[EMOL CP]]:Tabela134[[#This Row],[OUTRAS CP]])</f>
        <v>19.510000000000002</v>
      </c>
      <c r="P11" s="6">
        <f>TRUNC([APLICAÇÃO] * 2  * SETUP!$A$3, 2)</f>
        <v>2.0699999999999998</v>
      </c>
      <c r="Q11" s="6">
        <f>TRUNC([APLICAÇÃO] * 2  * SETUP!$B$3, 2)</f>
        <v>1.54</v>
      </c>
      <c r="R11" s="6">
        <f>TRUNC([APLICAÇÃO] * 2  * SETUP!$C$3, 2)</f>
        <v>3.89</v>
      </c>
      <c r="S11" s="6">
        <f>TRUNC(SETUP!$G$3  * SETUP!$H$3, 2)</f>
        <v>0.28999999999999998</v>
      </c>
      <c r="T11" s="6">
        <f>ROUND(SETUP!$G$3 * SETUP!$I$3, 2)</f>
        <v>0.57999999999999996</v>
      </c>
      <c r="U11" s="6">
        <f>SETUP!$G$3 + SUM(Tabela134[[#This Row],[EMOL VD]]:Tabela134[[#This Row],[OUTRAS VD]])</f>
        <v>23.27</v>
      </c>
      <c r="V11" s="6">
        <f>((([APLICAÇÃO] * 2) - [TAXA VD]) - ([APLICAÇÃO] + [TAXA CP])) * 0.85</f>
        <v>2343.6369999999993</v>
      </c>
      <c r="W11" s="14">
        <f>[APLICAÇÃO] - (ROUND([RENDA FIXA] * 0.1,2))</f>
        <v>2800</v>
      </c>
      <c r="X11" s="4">
        <f>Tabela134[[#This Row],[PERDA MAX]]/Tabela134[[#This Row],[APLICAÇÃO]]</f>
        <v>1</v>
      </c>
      <c r="Y11" s="15">
        <f>IF([LUCRO] &lt; ([RENDA FIXA]/2), 0.8, 0.8)</f>
        <v>0.8</v>
      </c>
      <c r="Z11" s="6">
        <f>IF([LUCRO] &lt; 0, 0, ROUND([LUCRO]*[NO BOLSO], 2))</f>
        <v>0</v>
      </c>
      <c r="AA11" s="6">
        <f>[LUCRO]-[PROTEÇÃO MÊS]</f>
        <v>0</v>
      </c>
      <c r="AB11" s="6">
        <f>[RENDA FIXA] + [PROTEÇÃO MÊS] - [APORTE RF]</f>
        <v>0</v>
      </c>
      <c r="AC11" s="6">
        <f>[TOT RF] + [REINVESTIR] + [APLICAÇÃO]</f>
        <v>2800</v>
      </c>
    </row>
    <row r="12" spans="1:29">
      <c r="B12" s="45"/>
      <c r="C12" s="3"/>
      <c r="D12" s="3"/>
      <c r="E12" s="3"/>
      <c r="G12" s="6">
        <f>100</f>
        <v>100</v>
      </c>
      <c r="H12" s="6">
        <f>SUMPRODUCT(N([TRADE] &lt;= Tabela134[[#This Row],[TRADE]]), [APORTE]) + SUMPRODUCT(N([TRADE] &lt;= Tabela134[[#This Row],[TRADE]]), [APORTE RF])</f>
        <v>2800</v>
      </c>
      <c r="I12" s="6">
        <f>[MONTANTE] - SUMPRODUCT(N([TRADE] &lt;= Tabela134[[#This Row],[TRADE]]), [SAQUE]) + SUMPRODUCT(N([TRADE] &lt; Tabela134[[#This Row],[TRADE]]), [REINVESTIR])</f>
        <v>2800</v>
      </c>
      <c r="J12" s="6">
        <f>TRUNC([APLICAÇÃO]  * SETUP!$A$3, 2)</f>
        <v>1.03</v>
      </c>
      <c r="K12" s="6">
        <f>TRUNC([APLICAÇÃO]  * SETUP!$B$3, 2)</f>
        <v>0.77</v>
      </c>
      <c r="L12" s="6">
        <f>TRUNC([APLICAÇÃO]  * SETUP!$C$3, 2)</f>
        <v>1.94</v>
      </c>
      <c r="M12" s="6">
        <f>TRUNC(SETUP!$G$3  * SETUP!$H$3, 2)</f>
        <v>0.28999999999999998</v>
      </c>
      <c r="N12" s="6">
        <f>ROUND(SETUP!$G$3 * SETUP!$I$3, 2)</f>
        <v>0.57999999999999996</v>
      </c>
      <c r="O12" s="6">
        <f>SETUP!$G$3 + SUM(Tabela134[[#This Row],[EMOL CP]]:Tabela134[[#This Row],[OUTRAS CP]])</f>
        <v>19.510000000000002</v>
      </c>
      <c r="P12" s="6">
        <f>TRUNC([APLICAÇÃO] * 2  * SETUP!$A$3, 2)</f>
        <v>2.0699999999999998</v>
      </c>
      <c r="Q12" s="6">
        <f>TRUNC([APLICAÇÃO] * 2  * SETUP!$B$3, 2)</f>
        <v>1.54</v>
      </c>
      <c r="R12" s="6">
        <f>TRUNC([APLICAÇÃO] * 2  * SETUP!$C$3, 2)</f>
        <v>3.89</v>
      </c>
      <c r="S12" s="6">
        <f>TRUNC(SETUP!$G$3  * SETUP!$H$3, 2)</f>
        <v>0.28999999999999998</v>
      </c>
      <c r="T12" s="6">
        <f>ROUND(SETUP!$G$3 * SETUP!$I$3, 2)</f>
        <v>0.57999999999999996</v>
      </c>
      <c r="U12" s="6">
        <f>SETUP!$G$3 + SUM(Tabela134[[#This Row],[EMOL VD]]:Tabela134[[#This Row],[OUTRAS VD]])</f>
        <v>23.27</v>
      </c>
      <c r="V12" s="6">
        <f>((([APLICAÇÃO] * 2) - [TAXA VD]) - ([APLICAÇÃO] + [TAXA CP])) * 0.85</f>
        <v>2343.6369999999993</v>
      </c>
      <c r="W12" s="14">
        <f>[APLICAÇÃO] - (ROUND([RENDA FIXA] * 0.1,2))</f>
        <v>2800</v>
      </c>
      <c r="X12" s="4">
        <f>Tabela134[[#This Row],[PERDA MAX]]/Tabela134[[#This Row],[APLICAÇÃO]]</f>
        <v>1</v>
      </c>
      <c r="Y12" s="15">
        <f>IF([LUCRO] &lt; ([RENDA FIXA]/2), 0.8, 0.8)</f>
        <v>0.8</v>
      </c>
      <c r="Z12" s="6">
        <f>IF([LUCRO] &lt; 0, 0, ROUND([LUCRO]*[NO BOLSO], 2))</f>
        <v>0</v>
      </c>
      <c r="AA12" s="6">
        <f>[LUCRO]-[PROTEÇÃO MÊS]</f>
        <v>0</v>
      </c>
      <c r="AB12" s="6">
        <f>[RENDA FIXA] + [PROTEÇÃO MÊS] - [APORTE RF]</f>
        <v>0</v>
      </c>
      <c r="AC12" s="6">
        <f>[TOT RF] + [REINVESTIR] + [APLICAÇÃO]</f>
        <v>2800</v>
      </c>
    </row>
    <row r="13" spans="1:29">
      <c r="B13" s="45"/>
      <c r="C13" s="3"/>
      <c r="D13" s="3"/>
      <c r="E13" s="3"/>
      <c r="G13" s="6">
        <f>100</f>
        <v>100</v>
      </c>
      <c r="H13" s="6">
        <f>SUMPRODUCT(N([TRADE] &lt;= Tabela134[[#This Row],[TRADE]]), [APORTE]) + SUMPRODUCT(N([TRADE] &lt;= Tabela134[[#This Row],[TRADE]]), [APORTE RF])</f>
        <v>2800</v>
      </c>
      <c r="I13" s="6">
        <f>[MONTANTE] - SUMPRODUCT(N([TRADE] &lt;= Tabela134[[#This Row],[TRADE]]), [SAQUE]) + SUMPRODUCT(N([TRADE] &lt; Tabela134[[#This Row],[TRADE]]), [REINVESTIR])</f>
        <v>2800</v>
      </c>
      <c r="J13" s="6">
        <f>TRUNC([APLICAÇÃO]  * SETUP!$A$3, 2)</f>
        <v>1.03</v>
      </c>
      <c r="K13" s="6">
        <f>TRUNC([APLICAÇÃO]  * SETUP!$B$3, 2)</f>
        <v>0.77</v>
      </c>
      <c r="L13" s="6">
        <f>TRUNC([APLICAÇÃO]  * SETUP!$C$3, 2)</f>
        <v>1.94</v>
      </c>
      <c r="M13" s="6">
        <f>TRUNC(SETUP!$G$3  * SETUP!$H$3, 2)</f>
        <v>0.28999999999999998</v>
      </c>
      <c r="N13" s="6">
        <f>ROUND(SETUP!$G$3 * SETUP!$I$3, 2)</f>
        <v>0.57999999999999996</v>
      </c>
      <c r="O13" s="6">
        <f>SETUP!$G$3 + SUM(Tabela134[[#This Row],[EMOL CP]]:Tabela134[[#This Row],[OUTRAS CP]])</f>
        <v>19.510000000000002</v>
      </c>
      <c r="P13" s="6">
        <f>TRUNC([APLICAÇÃO] * 2  * SETUP!$A$3, 2)</f>
        <v>2.0699999999999998</v>
      </c>
      <c r="Q13" s="6">
        <f>TRUNC([APLICAÇÃO] * 2  * SETUP!$B$3, 2)</f>
        <v>1.54</v>
      </c>
      <c r="R13" s="6">
        <f>TRUNC([APLICAÇÃO] * 2  * SETUP!$C$3, 2)</f>
        <v>3.89</v>
      </c>
      <c r="S13" s="6">
        <f>TRUNC(SETUP!$G$3  * SETUP!$H$3, 2)</f>
        <v>0.28999999999999998</v>
      </c>
      <c r="T13" s="6">
        <f>ROUND(SETUP!$G$3 * SETUP!$I$3, 2)</f>
        <v>0.57999999999999996</v>
      </c>
      <c r="U13" s="6">
        <f>SETUP!$G$3 + SUM(Tabela134[[#This Row],[EMOL VD]]:Tabela134[[#This Row],[OUTRAS VD]])</f>
        <v>23.27</v>
      </c>
      <c r="V13" s="6">
        <f>((([APLICAÇÃO] * 2) - [TAXA VD]) - ([APLICAÇÃO] + [TAXA CP])) * 0.85</f>
        <v>2343.6369999999993</v>
      </c>
      <c r="W13" s="14">
        <f>[APLICAÇÃO] - (ROUND([RENDA FIXA] * 0.1,2))</f>
        <v>2800</v>
      </c>
      <c r="X13" s="4">
        <f>Tabela134[[#This Row],[PERDA MAX]]/Tabela134[[#This Row],[APLICAÇÃO]]</f>
        <v>1</v>
      </c>
      <c r="Y13" s="15">
        <f>IF([LUCRO] &lt; ([RENDA FIXA]/2), 0.8, 0.8)</f>
        <v>0.8</v>
      </c>
      <c r="Z13" s="6">
        <f>IF([LUCRO] &lt; 0, 0, ROUND([LUCRO]*[NO BOLSO], 2))</f>
        <v>0</v>
      </c>
      <c r="AA13" s="6">
        <f>[LUCRO]-[PROTEÇÃO MÊS]</f>
        <v>0</v>
      </c>
      <c r="AB13" s="6">
        <f>[RENDA FIXA] + [PROTEÇÃO MÊS] - [APORTE RF]</f>
        <v>0</v>
      </c>
      <c r="AC13" s="6">
        <f>[TOT RF] + [REINVESTIR] + [APLICAÇÃO]</f>
        <v>2800</v>
      </c>
    </row>
    <row r="14" spans="1:29">
      <c r="B14" s="45"/>
      <c r="C14" s="3"/>
      <c r="D14" s="3"/>
      <c r="E14" s="3"/>
      <c r="G14" s="6">
        <f>100</f>
        <v>100</v>
      </c>
      <c r="H14" s="6">
        <f>SUMPRODUCT(N([TRADE] &lt;= Tabela134[[#This Row],[TRADE]]), [APORTE]) + SUMPRODUCT(N([TRADE] &lt;= Tabela134[[#This Row],[TRADE]]), [APORTE RF])</f>
        <v>2800</v>
      </c>
      <c r="I14" s="6">
        <f>[MONTANTE] - SUMPRODUCT(N([TRADE] &lt;= Tabela134[[#This Row],[TRADE]]), [SAQUE]) + SUMPRODUCT(N([TRADE] &lt; Tabela134[[#This Row],[TRADE]]), [REINVESTIR])</f>
        <v>2800</v>
      </c>
      <c r="J14" s="6">
        <f>TRUNC([APLICAÇÃO]  * SETUP!$A$3, 2)</f>
        <v>1.03</v>
      </c>
      <c r="K14" s="6">
        <f>TRUNC([APLICAÇÃO]  * SETUP!$B$3, 2)</f>
        <v>0.77</v>
      </c>
      <c r="L14" s="6">
        <f>TRUNC([APLICAÇÃO]  * SETUP!$C$3, 2)</f>
        <v>1.94</v>
      </c>
      <c r="M14" s="6">
        <f>TRUNC(SETUP!$G$3  * SETUP!$H$3, 2)</f>
        <v>0.28999999999999998</v>
      </c>
      <c r="N14" s="6">
        <f>ROUND(SETUP!$G$3 * SETUP!$I$3, 2)</f>
        <v>0.57999999999999996</v>
      </c>
      <c r="O14" s="6">
        <f>SETUP!$G$3 + SUM(Tabela134[[#This Row],[EMOL CP]]:Tabela134[[#This Row],[OUTRAS CP]])</f>
        <v>19.510000000000002</v>
      </c>
      <c r="P14" s="6">
        <f>TRUNC([APLICAÇÃO] * 2  * SETUP!$A$3, 2)</f>
        <v>2.0699999999999998</v>
      </c>
      <c r="Q14" s="6">
        <f>TRUNC([APLICAÇÃO] * 2  * SETUP!$B$3, 2)</f>
        <v>1.54</v>
      </c>
      <c r="R14" s="6">
        <f>TRUNC([APLICAÇÃO] * 2  * SETUP!$C$3, 2)</f>
        <v>3.89</v>
      </c>
      <c r="S14" s="6">
        <f>TRUNC(SETUP!$G$3  * SETUP!$H$3, 2)</f>
        <v>0.28999999999999998</v>
      </c>
      <c r="T14" s="6">
        <f>ROUND(SETUP!$G$3 * SETUP!$I$3, 2)</f>
        <v>0.57999999999999996</v>
      </c>
      <c r="U14" s="6">
        <f>SETUP!$G$3 + SUM(Tabela134[[#This Row],[EMOL VD]]:Tabela134[[#This Row],[OUTRAS VD]])</f>
        <v>23.27</v>
      </c>
      <c r="V14" s="6">
        <f>((([APLICAÇÃO] * 2) - [TAXA VD]) - ([APLICAÇÃO] + [TAXA CP])) * 0.85</f>
        <v>2343.6369999999993</v>
      </c>
      <c r="W14" s="14">
        <f>[APLICAÇÃO] - (ROUND([RENDA FIXA] * 0.1,2))</f>
        <v>2800</v>
      </c>
      <c r="X14" s="4">
        <f>Tabela134[[#This Row],[PERDA MAX]]/Tabela134[[#This Row],[APLICAÇÃO]]</f>
        <v>1</v>
      </c>
      <c r="Y14" s="15">
        <f>IF([LUCRO] &lt; ([RENDA FIXA]/2), 0.8, 0.8)</f>
        <v>0.8</v>
      </c>
      <c r="Z14" s="6">
        <f>IF([LUCRO] &lt; 0, 0, ROUND([LUCRO]*[NO BOLSO], 2))</f>
        <v>0</v>
      </c>
      <c r="AA14" s="6">
        <f>[LUCRO]-[PROTEÇÃO MÊS]</f>
        <v>0</v>
      </c>
      <c r="AB14" s="6">
        <f>[RENDA FIXA] + [PROTEÇÃO MÊS] - [APORTE RF]</f>
        <v>0</v>
      </c>
      <c r="AC14" s="6">
        <f>[TOT RF] + [REINVESTIR] + [APLICAÇÃO]</f>
        <v>2800</v>
      </c>
    </row>
    <row r="15" spans="1:29">
      <c r="B15" s="45"/>
      <c r="C15" s="3"/>
      <c r="D15" s="3"/>
      <c r="E15" s="3"/>
      <c r="G15" s="6">
        <f>100</f>
        <v>100</v>
      </c>
      <c r="H15" s="6">
        <f>SUMPRODUCT(N([TRADE] &lt;= Tabela134[[#This Row],[TRADE]]), [APORTE]) + SUMPRODUCT(N([TRADE] &lt;= Tabela134[[#This Row],[TRADE]]), [APORTE RF])</f>
        <v>2800</v>
      </c>
      <c r="I15" s="6">
        <f>[MONTANTE] - SUMPRODUCT(N([TRADE] &lt;= Tabela134[[#This Row],[TRADE]]), [SAQUE]) + SUMPRODUCT(N([TRADE] &lt; Tabela134[[#This Row],[TRADE]]), [REINVESTIR])</f>
        <v>2800</v>
      </c>
      <c r="J15" s="6">
        <f>TRUNC([APLICAÇÃO]  * SETUP!$A$3, 2)</f>
        <v>1.03</v>
      </c>
      <c r="K15" s="6">
        <f>TRUNC([APLICAÇÃO]  * SETUP!$B$3, 2)</f>
        <v>0.77</v>
      </c>
      <c r="L15" s="6">
        <f>TRUNC([APLICAÇÃO]  * SETUP!$C$3, 2)</f>
        <v>1.94</v>
      </c>
      <c r="M15" s="6">
        <f>TRUNC(SETUP!$G$3  * SETUP!$H$3, 2)</f>
        <v>0.28999999999999998</v>
      </c>
      <c r="N15" s="6">
        <f>ROUND(SETUP!$G$3 * SETUP!$I$3, 2)</f>
        <v>0.57999999999999996</v>
      </c>
      <c r="O15" s="6">
        <f>SETUP!$G$3 + SUM(Tabela134[[#This Row],[EMOL CP]]:Tabela134[[#This Row],[OUTRAS CP]])</f>
        <v>19.510000000000002</v>
      </c>
      <c r="P15" s="6">
        <f>TRUNC([APLICAÇÃO] * 2  * SETUP!$A$3, 2)</f>
        <v>2.0699999999999998</v>
      </c>
      <c r="Q15" s="6">
        <f>TRUNC([APLICAÇÃO] * 2  * SETUP!$B$3, 2)</f>
        <v>1.54</v>
      </c>
      <c r="R15" s="6">
        <f>TRUNC([APLICAÇÃO] * 2  * SETUP!$C$3, 2)</f>
        <v>3.89</v>
      </c>
      <c r="S15" s="6">
        <f>TRUNC(SETUP!$G$3  * SETUP!$H$3, 2)</f>
        <v>0.28999999999999998</v>
      </c>
      <c r="T15" s="6">
        <f>ROUND(SETUP!$G$3 * SETUP!$I$3, 2)</f>
        <v>0.57999999999999996</v>
      </c>
      <c r="U15" s="6">
        <f>SETUP!$G$3 + SUM(Tabela134[[#This Row],[EMOL VD]]:Tabela134[[#This Row],[OUTRAS VD]])</f>
        <v>23.27</v>
      </c>
      <c r="V15" s="6">
        <f>((([APLICAÇÃO] * 2) - [TAXA VD]) - ([APLICAÇÃO] + [TAXA CP])) * 0.85</f>
        <v>2343.6369999999993</v>
      </c>
      <c r="W15" s="14">
        <f>[APLICAÇÃO] - (ROUND([RENDA FIXA] * 0.1,2))</f>
        <v>2800</v>
      </c>
      <c r="X15" s="4">
        <f>Tabela134[[#This Row],[PERDA MAX]]/Tabela134[[#This Row],[APLICAÇÃO]]</f>
        <v>1</v>
      </c>
      <c r="Y15" s="15">
        <f>IF([LUCRO] &lt; ([RENDA FIXA]/2), 0.8, 0.8)</f>
        <v>0.8</v>
      </c>
      <c r="Z15" s="6">
        <f>IF([LUCRO] &lt; 0, 0, ROUND([LUCRO]*[NO BOLSO], 2))</f>
        <v>0</v>
      </c>
      <c r="AA15" s="6">
        <f>[LUCRO]-[PROTEÇÃO MÊS]</f>
        <v>0</v>
      </c>
      <c r="AB15" s="6">
        <f>[RENDA FIXA] + [PROTEÇÃO MÊS] - [APORTE RF]</f>
        <v>0</v>
      </c>
      <c r="AC15" s="6">
        <f>[TOT RF] + [REINVESTIR] + [APLICAÇÃO]</f>
        <v>2800</v>
      </c>
    </row>
    <row r="16" spans="1:29">
      <c r="A16" s="44"/>
      <c r="B16" s="46"/>
      <c r="C16" s="21"/>
      <c r="D16" s="21"/>
      <c r="E16" s="21"/>
      <c r="F16" s="21"/>
      <c r="G16" s="22">
        <f>100</f>
        <v>100</v>
      </c>
      <c r="H16" s="22">
        <f>SUMPRODUCT(N([TRADE] &lt;= Tabela134[[#This Row],[TRADE]]), [APORTE]) + SUMPRODUCT(N([TRADE] &lt;= Tabela134[[#This Row],[TRADE]]), [APORTE RF])</f>
        <v>2800</v>
      </c>
      <c r="I16" s="22">
        <f>[MONTANTE] - SUMPRODUCT(N([TRADE] &lt;= Tabela134[[#This Row],[TRADE]]), [SAQUE]) + SUMPRODUCT(N([TRADE] &lt; Tabela134[[#This Row],[TRADE]]), [REINVESTIR])</f>
        <v>2800</v>
      </c>
      <c r="J16" s="22">
        <f>TRUNC([APLICAÇÃO]  * SETUP!$A$3, 2)</f>
        <v>1.03</v>
      </c>
      <c r="K16" s="22">
        <f>TRUNC([APLICAÇÃO]  * SETUP!$B$3, 2)</f>
        <v>0.77</v>
      </c>
      <c r="L16" s="22">
        <f>TRUNC([APLICAÇÃO]  * SETUP!$C$3, 2)</f>
        <v>1.94</v>
      </c>
      <c r="M16" s="22">
        <f>TRUNC(SETUP!$G$3  * SETUP!$H$3, 2)</f>
        <v>0.28999999999999998</v>
      </c>
      <c r="N16" s="22">
        <f>ROUND(SETUP!$G$3 * SETUP!$I$3, 2)</f>
        <v>0.57999999999999996</v>
      </c>
      <c r="O16" s="22">
        <f>SETUP!$G$3 + SUM(Tabela134[[#This Row],[EMOL CP]]:Tabela134[[#This Row],[OUTRAS CP]])</f>
        <v>19.510000000000002</v>
      </c>
      <c r="P16" s="22">
        <f>TRUNC([APLICAÇÃO] * 2  * SETUP!$A$3, 2)</f>
        <v>2.0699999999999998</v>
      </c>
      <c r="Q16" s="22">
        <f>TRUNC([APLICAÇÃO] * 2  * SETUP!$B$3, 2)</f>
        <v>1.54</v>
      </c>
      <c r="R16" s="22">
        <f>TRUNC([APLICAÇÃO] * 2  * SETUP!$C$3, 2)</f>
        <v>3.89</v>
      </c>
      <c r="S16" s="22">
        <f>TRUNC(SETUP!$G$3  * SETUP!$H$3, 2)</f>
        <v>0.28999999999999998</v>
      </c>
      <c r="T16" s="22">
        <f>ROUND(SETUP!$G$3 * SETUP!$I$3, 2)</f>
        <v>0.57999999999999996</v>
      </c>
      <c r="U16" s="22">
        <f>SETUP!$G$3 + SUM(Tabela134[[#This Row],[EMOL VD]]:Tabela134[[#This Row],[OUTRAS VD]])</f>
        <v>23.27</v>
      </c>
      <c r="V16" s="22">
        <f>((([APLICAÇÃO] * 2) - [TAXA VD]) - ([APLICAÇÃO] + [TAXA CP])) * 0.85</f>
        <v>2343.6369999999993</v>
      </c>
      <c r="W16" s="23">
        <f>[APLICAÇÃO] - (ROUND([RENDA FIXA] * 0.1,2))</f>
        <v>2800</v>
      </c>
      <c r="X16" s="24">
        <f>Tabela134[[#This Row],[PERDA MAX]]/Tabela134[[#This Row],[APLICAÇÃO]]</f>
        <v>1</v>
      </c>
      <c r="Y16" s="25">
        <f>IF([LUCRO] &lt; ([RENDA FIXA]/2), 0.8, 0.8)</f>
        <v>0.8</v>
      </c>
      <c r="Z16" s="22">
        <f>IF([LUCRO] &lt; 0, 0, ROUND([LUCRO]*[NO BOLSO], 2))</f>
        <v>0</v>
      </c>
      <c r="AA16" s="22">
        <f>[LUCRO]-[PROTEÇÃO MÊS]</f>
        <v>0</v>
      </c>
      <c r="AB16" s="22">
        <f>[RENDA FIXA] + [PROTEÇÃO MÊS] - [APORTE RF]</f>
        <v>0</v>
      </c>
      <c r="AC16" s="22">
        <f>[TOT RF] + [REINVESTIR] + [APLICAÇÃO]</f>
        <v>2800</v>
      </c>
    </row>
    <row r="17" spans="1:29">
      <c r="B17" s="45"/>
      <c r="C17" s="3"/>
      <c r="D17" s="3"/>
      <c r="E17" s="3"/>
      <c r="G17" s="6">
        <f>100</f>
        <v>100</v>
      </c>
      <c r="H17" s="6">
        <f>SUMPRODUCT(N([TRADE] &lt;= Tabela134[[#This Row],[TRADE]]), [APORTE]) + SUMPRODUCT(N([TRADE] &lt;= Tabela134[[#This Row],[TRADE]]), [APORTE RF])</f>
        <v>2800</v>
      </c>
      <c r="I17" s="6">
        <f>[MONTANTE] - SUMPRODUCT(N([TRADE] &lt;= Tabela134[[#This Row],[TRADE]]), [SAQUE]) + SUMPRODUCT(N([TRADE] &lt; Tabela134[[#This Row],[TRADE]]), [REINVESTIR])</f>
        <v>2800</v>
      </c>
      <c r="J17" s="6">
        <f>TRUNC([APLICAÇÃO]  * SETUP!$A$3, 2)</f>
        <v>1.03</v>
      </c>
      <c r="K17" s="6">
        <f>TRUNC([APLICAÇÃO]  * SETUP!$B$3, 2)</f>
        <v>0.77</v>
      </c>
      <c r="L17" s="6">
        <f>TRUNC([APLICAÇÃO]  * SETUP!$C$3, 2)</f>
        <v>1.94</v>
      </c>
      <c r="M17" s="6">
        <f>TRUNC(SETUP!$G$3  * SETUP!$H$3, 2)</f>
        <v>0.28999999999999998</v>
      </c>
      <c r="N17" s="6">
        <f>ROUND(SETUP!$G$3 * SETUP!$I$3, 2)</f>
        <v>0.57999999999999996</v>
      </c>
      <c r="O17" s="6">
        <f>SETUP!$G$3 + SUM(Tabela134[[#This Row],[EMOL CP]]:Tabela134[[#This Row],[OUTRAS CP]])</f>
        <v>19.510000000000002</v>
      </c>
      <c r="P17" s="6">
        <f>TRUNC([APLICAÇÃO] * 2  * SETUP!$A$3, 2)</f>
        <v>2.0699999999999998</v>
      </c>
      <c r="Q17" s="6">
        <f>TRUNC([APLICAÇÃO] * 2  * SETUP!$B$3, 2)</f>
        <v>1.54</v>
      </c>
      <c r="R17" s="6">
        <f>TRUNC([APLICAÇÃO] * 2  * SETUP!$C$3, 2)</f>
        <v>3.89</v>
      </c>
      <c r="S17" s="6">
        <f>TRUNC(SETUP!$G$3  * SETUP!$H$3, 2)</f>
        <v>0.28999999999999998</v>
      </c>
      <c r="T17" s="6">
        <f>ROUND(SETUP!$G$3 * SETUP!$I$3, 2)</f>
        <v>0.57999999999999996</v>
      </c>
      <c r="U17" s="6">
        <f>SETUP!$G$3 + SUM(Tabela134[[#This Row],[EMOL VD]]:Tabela134[[#This Row],[OUTRAS VD]])</f>
        <v>23.27</v>
      </c>
      <c r="V17" s="6">
        <f>((([APLICAÇÃO] * 2) - [TAXA VD]) - ([APLICAÇÃO] + [TAXA CP])) * 0.85</f>
        <v>2343.6369999999993</v>
      </c>
      <c r="W17" s="14">
        <f>[APLICAÇÃO] - (ROUND([RENDA FIXA] * 0.1,2))</f>
        <v>2800</v>
      </c>
      <c r="X17" s="4">
        <f>Tabela134[[#This Row],[PERDA MAX]]/Tabela134[[#This Row],[APLICAÇÃO]]</f>
        <v>1</v>
      </c>
      <c r="Y17" s="15">
        <f>IF([LUCRO] &lt; ([RENDA FIXA]/2), 0.8, 0.8)</f>
        <v>0.8</v>
      </c>
      <c r="Z17" s="6">
        <f>IF([LUCRO] &lt; 0, 0, ROUND([LUCRO]*[NO BOLSO], 2))</f>
        <v>0</v>
      </c>
      <c r="AA17" s="6">
        <f>[LUCRO]-[PROTEÇÃO MÊS]</f>
        <v>0</v>
      </c>
      <c r="AB17" s="6">
        <f>[RENDA FIXA] + [PROTEÇÃO MÊS] - [APORTE RF]</f>
        <v>0</v>
      </c>
      <c r="AC17" s="6">
        <f>[TOT RF] + [REINVESTIR] + [APLICAÇÃO]</f>
        <v>2800</v>
      </c>
    </row>
    <row r="18" spans="1:29">
      <c r="B18" s="45"/>
      <c r="C18" s="3"/>
      <c r="D18" s="3"/>
      <c r="E18" s="3"/>
      <c r="G18" s="6">
        <f>100</f>
        <v>100</v>
      </c>
      <c r="H18" s="6">
        <f>SUMPRODUCT(N([TRADE] &lt;= Tabela134[[#This Row],[TRADE]]), [APORTE]) + SUMPRODUCT(N([TRADE] &lt;= Tabela134[[#This Row],[TRADE]]), [APORTE RF])</f>
        <v>2800</v>
      </c>
      <c r="I18" s="6">
        <f>[MONTANTE] - SUMPRODUCT(N([TRADE] &lt;= Tabela134[[#This Row],[TRADE]]), [SAQUE]) + SUMPRODUCT(N([TRADE] &lt; Tabela134[[#This Row],[TRADE]]), [REINVESTIR])</f>
        <v>2800</v>
      </c>
      <c r="J18" s="6">
        <f>TRUNC([APLICAÇÃO]  * SETUP!$A$3, 2)</f>
        <v>1.03</v>
      </c>
      <c r="K18" s="6">
        <f>TRUNC([APLICAÇÃO]  * SETUP!$B$3, 2)</f>
        <v>0.77</v>
      </c>
      <c r="L18" s="6">
        <f>TRUNC([APLICAÇÃO]  * SETUP!$C$3, 2)</f>
        <v>1.94</v>
      </c>
      <c r="M18" s="6">
        <f>TRUNC(SETUP!$G$3  * SETUP!$H$3, 2)</f>
        <v>0.28999999999999998</v>
      </c>
      <c r="N18" s="6">
        <f>ROUND(SETUP!$G$3 * SETUP!$I$3, 2)</f>
        <v>0.57999999999999996</v>
      </c>
      <c r="O18" s="6">
        <f>SETUP!$G$3 + SUM(Tabela134[[#This Row],[EMOL CP]]:Tabela134[[#This Row],[OUTRAS CP]])</f>
        <v>19.510000000000002</v>
      </c>
      <c r="P18" s="6">
        <f>TRUNC([APLICAÇÃO] * 2  * SETUP!$A$3, 2)</f>
        <v>2.0699999999999998</v>
      </c>
      <c r="Q18" s="6">
        <f>TRUNC([APLICAÇÃO] * 2  * SETUP!$B$3, 2)</f>
        <v>1.54</v>
      </c>
      <c r="R18" s="6">
        <f>TRUNC([APLICAÇÃO] * 2  * SETUP!$C$3, 2)</f>
        <v>3.89</v>
      </c>
      <c r="S18" s="6">
        <f>TRUNC(SETUP!$G$3  * SETUP!$H$3, 2)</f>
        <v>0.28999999999999998</v>
      </c>
      <c r="T18" s="6">
        <f>ROUND(SETUP!$G$3 * SETUP!$I$3, 2)</f>
        <v>0.57999999999999996</v>
      </c>
      <c r="U18" s="6">
        <f>SETUP!$G$3 + SUM(Tabela134[[#This Row],[EMOL VD]]:Tabela134[[#This Row],[OUTRAS VD]])</f>
        <v>23.27</v>
      </c>
      <c r="V18" s="6">
        <f>((([APLICAÇÃO] * 2) - [TAXA VD]) - ([APLICAÇÃO] + [TAXA CP])) * 0.85</f>
        <v>2343.6369999999993</v>
      </c>
      <c r="W18" s="14">
        <f>[APLICAÇÃO] - (ROUND([RENDA FIXA] * 0.1,2))</f>
        <v>2800</v>
      </c>
      <c r="X18" s="4">
        <f>Tabela134[[#This Row],[PERDA MAX]]/Tabela134[[#This Row],[APLICAÇÃO]]</f>
        <v>1</v>
      </c>
      <c r="Y18" s="15">
        <f>IF([LUCRO] &lt; ([RENDA FIXA]/2), 0.8, 0.8)</f>
        <v>0.8</v>
      </c>
      <c r="Z18" s="6">
        <f>IF([LUCRO] &lt; 0, 0, ROUND([LUCRO]*[NO BOLSO], 2))</f>
        <v>0</v>
      </c>
      <c r="AA18" s="6">
        <f>[LUCRO]-[PROTEÇÃO MÊS]</f>
        <v>0</v>
      </c>
      <c r="AB18" s="6">
        <f>[RENDA FIXA] + [PROTEÇÃO MÊS] - [APORTE RF]</f>
        <v>0</v>
      </c>
      <c r="AC18" s="6">
        <f>[TOT RF] + [REINVESTIR] + [APLICAÇÃO]</f>
        <v>2800</v>
      </c>
    </row>
    <row r="19" spans="1:29">
      <c r="B19" s="45"/>
      <c r="C19" s="3"/>
      <c r="D19" s="3"/>
      <c r="E19" s="3"/>
      <c r="G19" s="6">
        <f>100</f>
        <v>100</v>
      </c>
      <c r="H19" s="6">
        <f>SUMPRODUCT(N([TRADE] &lt;= Tabela134[[#This Row],[TRADE]]), [APORTE]) + SUMPRODUCT(N([TRADE] &lt;= Tabela134[[#This Row],[TRADE]]), [APORTE RF])</f>
        <v>2800</v>
      </c>
      <c r="I19" s="6">
        <f>[MONTANTE] - SUMPRODUCT(N([TRADE] &lt;= Tabela134[[#This Row],[TRADE]]), [SAQUE]) + SUMPRODUCT(N([TRADE] &lt; Tabela134[[#This Row],[TRADE]]), [REINVESTIR])</f>
        <v>2800</v>
      </c>
      <c r="J19" s="6">
        <f>TRUNC([APLICAÇÃO]  * SETUP!$A$3, 2)</f>
        <v>1.03</v>
      </c>
      <c r="K19" s="6">
        <f>TRUNC([APLICAÇÃO]  * SETUP!$B$3, 2)</f>
        <v>0.77</v>
      </c>
      <c r="L19" s="6">
        <f>TRUNC([APLICAÇÃO]  * SETUP!$C$3, 2)</f>
        <v>1.94</v>
      </c>
      <c r="M19" s="6">
        <f>TRUNC(SETUP!$G$3  * SETUP!$H$3, 2)</f>
        <v>0.28999999999999998</v>
      </c>
      <c r="N19" s="6">
        <f>ROUND(SETUP!$G$3 * SETUP!$I$3, 2)</f>
        <v>0.57999999999999996</v>
      </c>
      <c r="O19" s="6">
        <f>SETUP!$G$3 + SUM(Tabela134[[#This Row],[EMOL CP]]:Tabela134[[#This Row],[OUTRAS CP]])</f>
        <v>19.510000000000002</v>
      </c>
      <c r="P19" s="6">
        <f>TRUNC([APLICAÇÃO] * 2  * SETUP!$A$3, 2)</f>
        <v>2.0699999999999998</v>
      </c>
      <c r="Q19" s="6">
        <f>TRUNC([APLICAÇÃO] * 2  * SETUP!$B$3, 2)</f>
        <v>1.54</v>
      </c>
      <c r="R19" s="6">
        <f>TRUNC([APLICAÇÃO] * 2  * SETUP!$C$3, 2)</f>
        <v>3.89</v>
      </c>
      <c r="S19" s="6">
        <f>TRUNC(SETUP!$G$3  * SETUP!$H$3, 2)</f>
        <v>0.28999999999999998</v>
      </c>
      <c r="T19" s="6">
        <f>ROUND(SETUP!$G$3 * SETUP!$I$3, 2)</f>
        <v>0.57999999999999996</v>
      </c>
      <c r="U19" s="6">
        <f>SETUP!$G$3 + SUM(Tabela134[[#This Row],[EMOL VD]]:Tabela134[[#This Row],[OUTRAS VD]])</f>
        <v>23.27</v>
      </c>
      <c r="V19" s="6">
        <f>((([APLICAÇÃO] * 2) - [TAXA VD]) - ([APLICAÇÃO] + [TAXA CP])) * 0.85</f>
        <v>2343.6369999999993</v>
      </c>
      <c r="W19" s="14">
        <f>[APLICAÇÃO] - (ROUND([RENDA FIXA] * 0.1,2))</f>
        <v>2800</v>
      </c>
      <c r="X19" s="4">
        <f>Tabela134[[#This Row],[PERDA MAX]]/Tabela134[[#This Row],[APLICAÇÃO]]</f>
        <v>1</v>
      </c>
      <c r="Y19" s="15">
        <f>IF([LUCRO] &lt; ([RENDA FIXA]/2), 0.8, 0.8)</f>
        <v>0.8</v>
      </c>
      <c r="Z19" s="6">
        <f>IF([LUCRO] &lt; 0, 0, ROUND([LUCRO]*[NO BOLSO], 2))</f>
        <v>0</v>
      </c>
      <c r="AA19" s="6">
        <f>[LUCRO]-[PROTEÇÃO MÊS]</f>
        <v>0</v>
      </c>
      <c r="AB19" s="6">
        <f>[RENDA FIXA] + [PROTEÇÃO MÊS] - [APORTE RF]</f>
        <v>0</v>
      </c>
      <c r="AC19" s="6">
        <f>[TOT RF] + [REINVESTIR] + [APLICAÇÃO]</f>
        <v>2800</v>
      </c>
    </row>
    <row r="20" spans="1:29">
      <c r="B20" s="45"/>
      <c r="C20" s="3"/>
      <c r="D20" s="3"/>
      <c r="E20" s="3"/>
      <c r="G20" s="6">
        <f>100</f>
        <v>100</v>
      </c>
      <c r="H20" s="6">
        <f>SUMPRODUCT(N([TRADE] &lt;= Tabela134[[#This Row],[TRADE]]), [APORTE]) + SUMPRODUCT(N([TRADE] &lt;= Tabela134[[#This Row],[TRADE]]), [APORTE RF])</f>
        <v>2800</v>
      </c>
      <c r="I20" s="6">
        <f>[MONTANTE] - SUMPRODUCT(N([TRADE] &lt;= Tabela134[[#This Row],[TRADE]]), [SAQUE]) + SUMPRODUCT(N([TRADE] &lt; Tabela134[[#This Row],[TRADE]]), [REINVESTIR])</f>
        <v>2800</v>
      </c>
      <c r="J20" s="6">
        <f>TRUNC([APLICAÇÃO]  * SETUP!$A$3, 2)</f>
        <v>1.03</v>
      </c>
      <c r="K20" s="6">
        <f>TRUNC([APLICAÇÃO]  * SETUP!$B$3, 2)</f>
        <v>0.77</v>
      </c>
      <c r="L20" s="6">
        <f>TRUNC([APLICAÇÃO]  * SETUP!$C$3, 2)</f>
        <v>1.94</v>
      </c>
      <c r="M20" s="6">
        <f>TRUNC(SETUP!$G$3  * SETUP!$H$3, 2)</f>
        <v>0.28999999999999998</v>
      </c>
      <c r="N20" s="6">
        <f>ROUND(SETUP!$G$3 * SETUP!$I$3, 2)</f>
        <v>0.57999999999999996</v>
      </c>
      <c r="O20" s="6">
        <f>SETUP!$G$3 + SUM(Tabela134[[#This Row],[EMOL CP]]:Tabela134[[#This Row],[OUTRAS CP]])</f>
        <v>19.510000000000002</v>
      </c>
      <c r="P20" s="6">
        <f>TRUNC([APLICAÇÃO] * 2  * SETUP!$A$3, 2)</f>
        <v>2.0699999999999998</v>
      </c>
      <c r="Q20" s="6">
        <f>TRUNC([APLICAÇÃO] * 2  * SETUP!$B$3, 2)</f>
        <v>1.54</v>
      </c>
      <c r="R20" s="6">
        <f>TRUNC([APLICAÇÃO] * 2  * SETUP!$C$3, 2)</f>
        <v>3.89</v>
      </c>
      <c r="S20" s="6">
        <f>TRUNC(SETUP!$G$3  * SETUP!$H$3, 2)</f>
        <v>0.28999999999999998</v>
      </c>
      <c r="T20" s="6">
        <f>ROUND(SETUP!$G$3 * SETUP!$I$3, 2)</f>
        <v>0.57999999999999996</v>
      </c>
      <c r="U20" s="6">
        <f>SETUP!$G$3 + SUM(Tabela134[[#This Row],[EMOL VD]]:Tabela134[[#This Row],[OUTRAS VD]])</f>
        <v>23.27</v>
      </c>
      <c r="V20" s="6">
        <f>((([APLICAÇÃO] * 2) - [TAXA VD]) - ([APLICAÇÃO] + [TAXA CP])) * 0.85</f>
        <v>2343.6369999999993</v>
      </c>
      <c r="W20" s="14">
        <f>[APLICAÇÃO] - (ROUND([RENDA FIXA] * 0.1,2))</f>
        <v>2800</v>
      </c>
      <c r="X20" s="4">
        <f>Tabela134[[#This Row],[PERDA MAX]]/Tabela134[[#This Row],[APLICAÇÃO]]</f>
        <v>1</v>
      </c>
      <c r="Y20" s="15">
        <f>IF([LUCRO] &lt; ([RENDA FIXA]/2), 0.8, 0.8)</f>
        <v>0.8</v>
      </c>
      <c r="Z20" s="6">
        <f>IF([LUCRO] &lt; 0, 0, ROUND([LUCRO]*[NO BOLSO], 2))</f>
        <v>0</v>
      </c>
      <c r="AA20" s="6">
        <f>[LUCRO]-[PROTEÇÃO MÊS]</f>
        <v>0</v>
      </c>
      <c r="AB20" s="6">
        <f>[RENDA FIXA] + [PROTEÇÃO MÊS] - [APORTE RF]</f>
        <v>0</v>
      </c>
      <c r="AC20" s="6">
        <f>[TOT RF] + [REINVESTIR] + [APLICAÇÃO]</f>
        <v>2800</v>
      </c>
    </row>
    <row r="21" spans="1:29">
      <c r="B21" s="45"/>
      <c r="C21" s="3"/>
      <c r="D21" s="3"/>
      <c r="E21" s="3"/>
      <c r="G21" s="6">
        <f>100</f>
        <v>100</v>
      </c>
      <c r="H21" s="6">
        <f>SUMPRODUCT(N([TRADE] &lt;= Tabela134[[#This Row],[TRADE]]), [APORTE]) + SUMPRODUCT(N([TRADE] &lt;= Tabela134[[#This Row],[TRADE]]), [APORTE RF])</f>
        <v>2800</v>
      </c>
      <c r="I21" s="6">
        <f>[MONTANTE] - SUMPRODUCT(N([TRADE] &lt;= Tabela134[[#This Row],[TRADE]]), [SAQUE]) + SUMPRODUCT(N([TRADE] &lt; Tabela134[[#This Row],[TRADE]]), [REINVESTIR])</f>
        <v>2800</v>
      </c>
      <c r="J21" s="6">
        <f>TRUNC([APLICAÇÃO]  * SETUP!$A$3, 2)</f>
        <v>1.03</v>
      </c>
      <c r="K21" s="6">
        <f>TRUNC([APLICAÇÃO]  * SETUP!$B$3, 2)</f>
        <v>0.77</v>
      </c>
      <c r="L21" s="6">
        <f>TRUNC([APLICAÇÃO]  * SETUP!$C$3, 2)</f>
        <v>1.94</v>
      </c>
      <c r="M21" s="6">
        <f>TRUNC(SETUP!$G$3  * SETUP!$H$3, 2)</f>
        <v>0.28999999999999998</v>
      </c>
      <c r="N21" s="6">
        <f>ROUND(SETUP!$G$3 * SETUP!$I$3, 2)</f>
        <v>0.57999999999999996</v>
      </c>
      <c r="O21" s="6">
        <f>SETUP!$G$3 + SUM(Tabela134[[#This Row],[EMOL CP]]:Tabela134[[#This Row],[OUTRAS CP]])</f>
        <v>19.510000000000002</v>
      </c>
      <c r="P21" s="6">
        <f>TRUNC([APLICAÇÃO] * 2  * SETUP!$A$3, 2)</f>
        <v>2.0699999999999998</v>
      </c>
      <c r="Q21" s="6">
        <f>TRUNC([APLICAÇÃO] * 2  * SETUP!$B$3, 2)</f>
        <v>1.54</v>
      </c>
      <c r="R21" s="6">
        <f>TRUNC([APLICAÇÃO] * 2  * SETUP!$C$3, 2)</f>
        <v>3.89</v>
      </c>
      <c r="S21" s="6">
        <f>TRUNC(SETUP!$G$3  * SETUP!$H$3, 2)</f>
        <v>0.28999999999999998</v>
      </c>
      <c r="T21" s="6">
        <f>ROUND(SETUP!$G$3 * SETUP!$I$3, 2)</f>
        <v>0.57999999999999996</v>
      </c>
      <c r="U21" s="6">
        <f>SETUP!$G$3 + SUM(Tabela134[[#This Row],[EMOL VD]]:Tabela134[[#This Row],[OUTRAS VD]])</f>
        <v>23.27</v>
      </c>
      <c r="V21" s="6">
        <f>((([APLICAÇÃO] * 2) - [TAXA VD]) - ([APLICAÇÃO] + [TAXA CP])) * 0.85</f>
        <v>2343.6369999999993</v>
      </c>
      <c r="W21" s="14">
        <f>[APLICAÇÃO] - (ROUND([RENDA FIXA] * 0.1,2))</f>
        <v>2800</v>
      </c>
      <c r="X21" s="4">
        <f>Tabela134[[#This Row],[PERDA MAX]]/Tabela134[[#This Row],[APLICAÇÃO]]</f>
        <v>1</v>
      </c>
      <c r="Y21" s="15">
        <f>IF([LUCRO] &lt; ([RENDA FIXA]/2), 0.8, 0.8)</f>
        <v>0.8</v>
      </c>
      <c r="Z21" s="6">
        <f>IF([LUCRO] &lt; 0, 0, ROUND([LUCRO]*[NO BOLSO], 2))</f>
        <v>0</v>
      </c>
      <c r="AA21" s="6">
        <f>[LUCRO]-[PROTEÇÃO MÊS]</f>
        <v>0</v>
      </c>
      <c r="AB21" s="6">
        <f>[RENDA FIXA] + [PROTEÇÃO MÊS] - [APORTE RF]</f>
        <v>0</v>
      </c>
      <c r="AC21" s="6">
        <f>[TOT RF] + [REINVESTIR] + [APLICAÇÃO]</f>
        <v>2800</v>
      </c>
    </row>
    <row r="22" spans="1:29">
      <c r="A22" s="44"/>
      <c r="B22" s="46"/>
      <c r="C22" s="21"/>
      <c r="D22" s="21"/>
      <c r="E22" s="21"/>
      <c r="F22" s="21"/>
      <c r="G22" s="22">
        <f>100</f>
        <v>100</v>
      </c>
      <c r="H22" s="22">
        <f>SUMPRODUCT(N([TRADE] &lt;= Tabela134[[#This Row],[TRADE]]), [APORTE]) + SUMPRODUCT(N([TRADE] &lt;= Tabela134[[#This Row],[TRADE]]), [APORTE RF])</f>
        <v>2800</v>
      </c>
      <c r="I22" s="22">
        <f>[MONTANTE] - SUMPRODUCT(N([TRADE] &lt;= Tabela134[[#This Row],[TRADE]]), [SAQUE]) + SUMPRODUCT(N([TRADE] &lt; Tabela134[[#This Row],[TRADE]]), [REINVESTIR])</f>
        <v>2800</v>
      </c>
      <c r="J22" s="22">
        <f>TRUNC([APLICAÇÃO]  * SETUP!$A$3, 2)</f>
        <v>1.03</v>
      </c>
      <c r="K22" s="22">
        <f>TRUNC([APLICAÇÃO]  * SETUP!$B$3, 2)</f>
        <v>0.77</v>
      </c>
      <c r="L22" s="22">
        <f>TRUNC([APLICAÇÃO]  * SETUP!$C$3, 2)</f>
        <v>1.94</v>
      </c>
      <c r="M22" s="22">
        <f>TRUNC(SETUP!$G$3  * SETUP!$H$3, 2)</f>
        <v>0.28999999999999998</v>
      </c>
      <c r="N22" s="22">
        <f>ROUND(SETUP!$G$3 * SETUP!$I$3, 2)</f>
        <v>0.57999999999999996</v>
      </c>
      <c r="O22" s="22">
        <f>SETUP!$G$3 + SUM(Tabela134[[#This Row],[EMOL CP]]:Tabela134[[#This Row],[OUTRAS CP]])</f>
        <v>19.510000000000002</v>
      </c>
      <c r="P22" s="22">
        <f>TRUNC([APLICAÇÃO] * 2  * SETUP!$A$3, 2)</f>
        <v>2.0699999999999998</v>
      </c>
      <c r="Q22" s="22">
        <f>TRUNC([APLICAÇÃO] * 2  * SETUP!$B$3, 2)</f>
        <v>1.54</v>
      </c>
      <c r="R22" s="22">
        <f>TRUNC([APLICAÇÃO] * 2  * SETUP!$C$3, 2)</f>
        <v>3.89</v>
      </c>
      <c r="S22" s="22">
        <f>TRUNC(SETUP!$G$3  * SETUP!$H$3, 2)</f>
        <v>0.28999999999999998</v>
      </c>
      <c r="T22" s="22">
        <f>ROUND(SETUP!$G$3 * SETUP!$I$3, 2)</f>
        <v>0.57999999999999996</v>
      </c>
      <c r="U22" s="22">
        <f>SETUP!$G$3 + SUM(Tabela134[[#This Row],[EMOL VD]]:Tabela134[[#This Row],[OUTRAS VD]])</f>
        <v>23.27</v>
      </c>
      <c r="V22" s="22">
        <f>((([APLICAÇÃO] * 2) - [TAXA VD]) - ([APLICAÇÃO] + [TAXA CP])) * 0.85</f>
        <v>2343.6369999999993</v>
      </c>
      <c r="W22" s="23">
        <f>[APLICAÇÃO] - (ROUND([RENDA FIXA] * 0.1,2))</f>
        <v>2800</v>
      </c>
      <c r="X22" s="24">
        <f>Tabela134[[#This Row],[PERDA MAX]]/Tabela134[[#This Row],[APLICAÇÃO]]</f>
        <v>1</v>
      </c>
      <c r="Y22" s="25">
        <f>IF([LUCRO] &lt; ([RENDA FIXA]/2), 0.8, 0.8)</f>
        <v>0.8</v>
      </c>
      <c r="Z22" s="22">
        <f>IF([LUCRO] &lt; 0, 0, ROUND([LUCRO]*[NO BOLSO], 2))</f>
        <v>0</v>
      </c>
      <c r="AA22" s="22">
        <f>[LUCRO]-[PROTEÇÃO MÊS]</f>
        <v>0</v>
      </c>
      <c r="AB22" s="22">
        <f>[RENDA FIXA] + [PROTEÇÃO MÊS] - [APORTE RF]</f>
        <v>0</v>
      </c>
      <c r="AC22" s="22">
        <f>[TOT RF] + [REINVESTIR] + [APLICAÇÃO]</f>
        <v>2800</v>
      </c>
    </row>
    <row r="23" spans="1:29">
      <c r="B23" s="45"/>
      <c r="C23" s="3"/>
      <c r="D23" s="3"/>
      <c r="E23" s="3"/>
      <c r="G23" s="6">
        <f>100</f>
        <v>100</v>
      </c>
      <c r="H23" s="6">
        <f>SUMPRODUCT(N([TRADE] &lt;= Tabela134[[#This Row],[TRADE]]), [APORTE]) + SUMPRODUCT(N([TRADE] &lt;= Tabela134[[#This Row],[TRADE]]), [APORTE RF])</f>
        <v>2800</v>
      </c>
      <c r="I23" s="6">
        <f>[MONTANTE] - SUMPRODUCT(N([TRADE] &lt;= Tabela134[[#This Row],[TRADE]]), [SAQUE]) + SUMPRODUCT(N([TRADE] &lt; Tabela134[[#This Row],[TRADE]]), [REINVESTIR])</f>
        <v>2800</v>
      </c>
      <c r="J23" s="6">
        <f>TRUNC([APLICAÇÃO]  * SETUP!$A$3, 2)</f>
        <v>1.03</v>
      </c>
      <c r="K23" s="6">
        <f>TRUNC([APLICAÇÃO]  * SETUP!$B$3, 2)</f>
        <v>0.77</v>
      </c>
      <c r="L23" s="6">
        <f>TRUNC([APLICAÇÃO]  * SETUP!$C$3, 2)</f>
        <v>1.94</v>
      </c>
      <c r="M23" s="6">
        <f>TRUNC(SETUP!$G$3  * SETUP!$H$3, 2)</f>
        <v>0.28999999999999998</v>
      </c>
      <c r="N23" s="6">
        <f>ROUND(SETUP!$G$3 * SETUP!$I$3, 2)</f>
        <v>0.57999999999999996</v>
      </c>
      <c r="O23" s="6">
        <f>SETUP!$G$3 + SUM(Tabela134[[#This Row],[EMOL CP]]:Tabela134[[#This Row],[OUTRAS CP]])</f>
        <v>19.510000000000002</v>
      </c>
      <c r="P23" s="6">
        <f>TRUNC([APLICAÇÃO] * 2  * SETUP!$A$3, 2)</f>
        <v>2.0699999999999998</v>
      </c>
      <c r="Q23" s="6">
        <f>TRUNC([APLICAÇÃO] * 2  * SETUP!$B$3, 2)</f>
        <v>1.54</v>
      </c>
      <c r="R23" s="6">
        <f>TRUNC([APLICAÇÃO] * 2  * SETUP!$C$3, 2)</f>
        <v>3.89</v>
      </c>
      <c r="S23" s="6">
        <f>TRUNC(SETUP!$G$3  * SETUP!$H$3, 2)</f>
        <v>0.28999999999999998</v>
      </c>
      <c r="T23" s="6">
        <f>ROUND(SETUP!$G$3 * SETUP!$I$3, 2)</f>
        <v>0.57999999999999996</v>
      </c>
      <c r="U23" s="6">
        <f>SETUP!$G$3 + SUM(Tabela134[[#This Row],[EMOL VD]]:Tabela134[[#This Row],[OUTRAS VD]])</f>
        <v>23.27</v>
      </c>
      <c r="V23" s="6">
        <f>((([APLICAÇÃO] * 2) - [TAXA VD]) - ([APLICAÇÃO] + [TAXA CP])) * 0.85</f>
        <v>2343.6369999999993</v>
      </c>
      <c r="W23" s="14">
        <f>[APLICAÇÃO] - (ROUND([RENDA FIXA] * 0.1,2))</f>
        <v>2800</v>
      </c>
      <c r="X23" s="4">
        <f>Tabela134[[#This Row],[PERDA MAX]]/Tabela134[[#This Row],[APLICAÇÃO]]</f>
        <v>1</v>
      </c>
      <c r="Y23" s="15">
        <f>IF([LUCRO] &lt; ([RENDA FIXA]/2), 0.8, 0.8)</f>
        <v>0.8</v>
      </c>
      <c r="Z23" s="6">
        <f>IF([LUCRO] &lt; 0, 0, ROUND([LUCRO]*[NO BOLSO], 2))</f>
        <v>0</v>
      </c>
      <c r="AA23" s="6">
        <f>[LUCRO]-[PROTEÇÃO MÊS]</f>
        <v>0</v>
      </c>
      <c r="AB23" s="6">
        <f>[RENDA FIXA] + [PROTEÇÃO MÊS] - [APORTE RF]</f>
        <v>0</v>
      </c>
      <c r="AC23" s="6">
        <f>[TOT RF] + [REINVESTIR] + [APLICAÇÃO]</f>
        <v>2800</v>
      </c>
    </row>
    <row r="24" spans="1:29">
      <c r="B24" s="45"/>
      <c r="C24" s="3"/>
      <c r="D24" s="3"/>
      <c r="E24" s="3"/>
      <c r="G24" s="6">
        <f>100</f>
        <v>100</v>
      </c>
      <c r="H24" s="6">
        <f>SUMPRODUCT(N([TRADE] &lt;= Tabela134[[#This Row],[TRADE]]), [APORTE]) + SUMPRODUCT(N([TRADE] &lt;= Tabela134[[#This Row],[TRADE]]), [APORTE RF])</f>
        <v>2800</v>
      </c>
      <c r="I24" s="6">
        <f>[MONTANTE] - SUMPRODUCT(N([TRADE] &lt;= Tabela134[[#This Row],[TRADE]]), [SAQUE]) + SUMPRODUCT(N([TRADE] &lt; Tabela134[[#This Row],[TRADE]]), [REINVESTIR])</f>
        <v>2800</v>
      </c>
      <c r="J24" s="6">
        <f>TRUNC([APLICAÇÃO]  * SETUP!$A$3, 2)</f>
        <v>1.03</v>
      </c>
      <c r="K24" s="6">
        <f>TRUNC([APLICAÇÃO]  * SETUP!$B$3, 2)</f>
        <v>0.77</v>
      </c>
      <c r="L24" s="6">
        <f>TRUNC([APLICAÇÃO]  * SETUP!$C$3, 2)</f>
        <v>1.94</v>
      </c>
      <c r="M24" s="6">
        <f>TRUNC(SETUP!$G$3  * SETUP!$H$3, 2)</f>
        <v>0.28999999999999998</v>
      </c>
      <c r="N24" s="6">
        <f>ROUND(SETUP!$G$3 * SETUP!$I$3, 2)</f>
        <v>0.57999999999999996</v>
      </c>
      <c r="O24" s="6">
        <f>SETUP!$G$3 + SUM(Tabela134[[#This Row],[EMOL CP]]:Tabela134[[#This Row],[OUTRAS CP]])</f>
        <v>19.510000000000002</v>
      </c>
      <c r="P24" s="6">
        <f>TRUNC([APLICAÇÃO] * 2  * SETUP!$A$3, 2)</f>
        <v>2.0699999999999998</v>
      </c>
      <c r="Q24" s="6">
        <f>TRUNC([APLICAÇÃO] * 2  * SETUP!$B$3, 2)</f>
        <v>1.54</v>
      </c>
      <c r="R24" s="6">
        <f>TRUNC([APLICAÇÃO] * 2  * SETUP!$C$3, 2)</f>
        <v>3.89</v>
      </c>
      <c r="S24" s="6">
        <f>TRUNC(SETUP!$G$3  * SETUP!$H$3, 2)</f>
        <v>0.28999999999999998</v>
      </c>
      <c r="T24" s="6">
        <f>ROUND(SETUP!$G$3 * SETUP!$I$3, 2)</f>
        <v>0.57999999999999996</v>
      </c>
      <c r="U24" s="6">
        <f>SETUP!$G$3 + SUM(Tabela134[[#This Row],[EMOL VD]]:Tabela134[[#This Row],[OUTRAS VD]])</f>
        <v>23.27</v>
      </c>
      <c r="V24" s="6">
        <f>((([APLICAÇÃO] * 2) - [TAXA VD]) - ([APLICAÇÃO] + [TAXA CP])) * 0.85</f>
        <v>2343.6369999999993</v>
      </c>
      <c r="W24" s="14">
        <f>[APLICAÇÃO] - (ROUND([RENDA FIXA] * 0.1,2))</f>
        <v>2800</v>
      </c>
      <c r="X24" s="4">
        <f>Tabela134[[#This Row],[PERDA MAX]]/Tabela134[[#This Row],[APLICAÇÃO]]</f>
        <v>1</v>
      </c>
      <c r="Y24" s="15">
        <f>IF([LUCRO] &lt; ([RENDA FIXA]/2), 0.8, 0.8)</f>
        <v>0.8</v>
      </c>
      <c r="Z24" s="6">
        <f>IF([LUCRO] &lt; 0, 0, ROUND([LUCRO]*[NO BOLSO], 2))</f>
        <v>0</v>
      </c>
      <c r="AA24" s="6">
        <f>[LUCRO]-[PROTEÇÃO MÊS]</f>
        <v>0</v>
      </c>
      <c r="AB24" s="6">
        <f>[RENDA FIXA] + [PROTEÇÃO MÊS] - [APORTE RF]</f>
        <v>0</v>
      </c>
      <c r="AC24" s="6">
        <f>[TOT RF] + [REINVESTIR] + [APLICAÇÃO]</f>
        <v>2800</v>
      </c>
    </row>
    <row r="25" spans="1:29">
      <c r="B25" s="45"/>
      <c r="C25" s="3"/>
      <c r="D25" s="3"/>
      <c r="E25" s="3"/>
      <c r="G25" s="6">
        <f>100</f>
        <v>100</v>
      </c>
      <c r="H25" s="6">
        <f>SUMPRODUCT(N([TRADE] &lt;= Tabela134[[#This Row],[TRADE]]), [APORTE]) + SUMPRODUCT(N([TRADE] &lt;= Tabela134[[#This Row],[TRADE]]), [APORTE RF])</f>
        <v>2800</v>
      </c>
      <c r="I25" s="6">
        <f>[MONTANTE] - SUMPRODUCT(N([TRADE] &lt;= Tabela134[[#This Row],[TRADE]]), [SAQUE]) + SUMPRODUCT(N([TRADE] &lt; Tabela134[[#This Row],[TRADE]]), [REINVESTIR])</f>
        <v>2800</v>
      </c>
      <c r="J25" s="6">
        <f>TRUNC([APLICAÇÃO]  * SETUP!$A$3, 2)</f>
        <v>1.03</v>
      </c>
      <c r="K25" s="6">
        <f>TRUNC([APLICAÇÃO]  * SETUP!$B$3, 2)</f>
        <v>0.77</v>
      </c>
      <c r="L25" s="6">
        <f>TRUNC([APLICAÇÃO]  * SETUP!$C$3, 2)</f>
        <v>1.94</v>
      </c>
      <c r="M25" s="6">
        <f>TRUNC(SETUP!$G$3  * SETUP!$H$3, 2)</f>
        <v>0.28999999999999998</v>
      </c>
      <c r="N25" s="6">
        <f>ROUND(SETUP!$G$3 * SETUP!$I$3, 2)</f>
        <v>0.57999999999999996</v>
      </c>
      <c r="O25" s="6">
        <f>SETUP!$G$3 + SUM(Tabela134[[#This Row],[EMOL CP]]:Tabela134[[#This Row],[OUTRAS CP]])</f>
        <v>19.510000000000002</v>
      </c>
      <c r="P25" s="6">
        <f>TRUNC([APLICAÇÃO] * 2  * SETUP!$A$3, 2)</f>
        <v>2.0699999999999998</v>
      </c>
      <c r="Q25" s="6">
        <f>TRUNC([APLICAÇÃO] * 2  * SETUP!$B$3, 2)</f>
        <v>1.54</v>
      </c>
      <c r="R25" s="6">
        <f>TRUNC([APLICAÇÃO] * 2  * SETUP!$C$3, 2)</f>
        <v>3.89</v>
      </c>
      <c r="S25" s="6">
        <f>TRUNC(SETUP!$G$3  * SETUP!$H$3, 2)</f>
        <v>0.28999999999999998</v>
      </c>
      <c r="T25" s="6">
        <f>ROUND(SETUP!$G$3 * SETUP!$I$3, 2)</f>
        <v>0.57999999999999996</v>
      </c>
      <c r="U25" s="6">
        <f>SETUP!$G$3 + SUM(Tabela134[[#This Row],[EMOL VD]]:Tabela134[[#This Row],[OUTRAS VD]])</f>
        <v>23.27</v>
      </c>
      <c r="V25" s="6">
        <f>((([APLICAÇÃO] * 2) - [TAXA VD]) - ([APLICAÇÃO] + [TAXA CP])) * 0.85</f>
        <v>2343.6369999999993</v>
      </c>
      <c r="W25" s="14">
        <f>[APLICAÇÃO] - (ROUND([RENDA FIXA] * 0.1,2))</f>
        <v>2800</v>
      </c>
      <c r="X25" s="4">
        <f>Tabela134[[#This Row],[PERDA MAX]]/Tabela134[[#This Row],[APLICAÇÃO]]</f>
        <v>1</v>
      </c>
      <c r="Y25" s="15">
        <f>IF([LUCRO] &lt; ([RENDA FIXA]/2), 0.8, 0.8)</f>
        <v>0.8</v>
      </c>
      <c r="Z25" s="6">
        <f>IF([LUCRO] &lt; 0, 0, ROUND([LUCRO]*[NO BOLSO], 2))</f>
        <v>0</v>
      </c>
      <c r="AA25" s="6">
        <f>[LUCRO]-[PROTEÇÃO MÊS]</f>
        <v>0</v>
      </c>
      <c r="AB25" s="6">
        <f>[RENDA FIXA] + [PROTEÇÃO MÊS] - [APORTE RF]</f>
        <v>0</v>
      </c>
      <c r="AC25" s="6">
        <f>[TOT RF] + [REINVESTIR] + [APLICAÇÃO]</f>
        <v>2800</v>
      </c>
    </row>
    <row r="26" spans="1:29">
      <c r="B26" s="45"/>
      <c r="C26" s="3"/>
      <c r="D26" s="3"/>
      <c r="E26" s="3"/>
      <c r="G26" s="6">
        <f>100</f>
        <v>100</v>
      </c>
      <c r="H26" s="6">
        <f>SUMPRODUCT(N([TRADE] &lt;= Tabela134[[#This Row],[TRADE]]), [APORTE]) + SUMPRODUCT(N([TRADE] &lt;= Tabela134[[#This Row],[TRADE]]), [APORTE RF])</f>
        <v>2800</v>
      </c>
      <c r="I26" s="6">
        <f>[MONTANTE] - SUMPRODUCT(N([TRADE] &lt;= Tabela134[[#This Row],[TRADE]]), [SAQUE]) + SUMPRODUCT(N([TRADE] &lt; Tabela134[[#This Row],[TRADE]]), [REINVESTIR])</f>
        <v>2800</v>
      </c>
      <c r="J26" s="6">
        <f>TRUNC([APLICAÇÃO]  * SETUP!$A$3, 2)</f>
        <v>1.03</v>
      </c>
      <c r="K26" s="6">
        <f>TRUNC([APLICAÇÃO]  * SETUP!$B$3, 2)</f>
        <v>0.77</v>
      </c>
      <c r="L26" s="6">
        <f>TRUNC([APLICAÇÃO]  * SETUP!$C$3, 2)</f>
        <v>1.94</v>
      </c>
      <c r="M26" s="6">
        <f>TRUNC(SETUP!$G$3  * SETUP!$H$3, 2)</f>
        <v>0.28999999999999998</v>
      </c>
      <c r="N26" s="6">
        <f>ROUND(SETUP!$G$3 * SETUP!$I$3, 2)</f>
        <v>0.57999999999999996</v>
      </c>
      <c r="O26" s="6">
        <f>SETUP!$G$3 + SUM(Tabela134[[#This Row],[EMOL CP]]:Tabela134[[#This Row],[OUTRAS CP]])</f>
        <v>19.510000000000002</v>
      </c>
      <c r="P26" s="6">
        <f>TRUNC([APLICAÇÃO] * 2  * SETUP!$A$3, 2)</f>
        <v>2.0699999999999998</v>
      </c>
      <c r="Q26" s="6">
        <f>TRUNC([APLICAÇÃO] * 2  * SETUP!$B$3, 2)</f>
        <v>1.54</v>
      </c>
      <c r="R26" s="6">
        <f>TRUNC([APLICAÇÃO] * 2  * SETUP!$C$3, 2)</f>
        <v>3.89</v>
      </c>
      <c r="S26" s="6">
        <f>TRUNC(SETUP!$G$3  * SETUP!$H$3, 2)</f>
        <v>0.28999999999999998</v>
      </c>
      <c r="T26" s="6">
        <f>ROUND(SETUP!$G$3 * SETUP!$I$3, 2)</f>
        <v>0.57999999999999996</v>
      </c>
      <c r="U26" s="6">
        <f>SETUP!$G$3 + SUM(Tabela134[[#This Row],[EMOL VD]]:Tabela134[[#This Row],[OUTRAS VD]])</f>
        <v>23.27</v>
      </c>
      <c r="V26" s="6">
        <f>((([APLICAÇÃO] * 2) - [TAXA VD]) - ([APLICAÇÃO] + [TAXA CP])) * 0.85</f>
        <v>2343.6369999999993</v>
      </c>
      <c r="W26" s="14">
        <f>[APLICAÇÃO] - (ROUND([RENDA FIXA] * 0.1,2))</f>
        <v>2800</v>
      </c>
      <c r="X26" s="4">
        <f>Tabela134[[#This Row],[PERDA MAX]]/Tabela134[[#This Row],[APLICAÇÃO]]</f>
        <v>1</v>
      </c>
      <c r="Y26" s="15">
        <f>IF([LUCRO] &lt; ([RENDA FIXA]/2), 0.8, 0.8)</f>
        <v>0.8</v>
      </c>
      <c r="Z26" s="6">
        <f>IF([LUCRO] &lt; 0, 0, ROUND([LUCRO]*[NO BOLSO], 2))</f>
        <v>0</v>
      </c>
      <c r="AA26" s="6">
        <f>[LUCRO]-[PROTEÇÃO MÊS]</f>
        <v>0</v>
      </c>
      <c r="AB26" s="6">
        <f>[RENDA FIXA] + [PROTEÇÃO MÊS] - [APORTE RF]</f>
        <v>0</v>
      </c>
      <c r="AC26" s="6">
        <f>[TOT RF] + [REINVESTIR] + [APLICAÇÃO]</f>
        <v>2800</v>
      </c>
    </row>
    <row r="27" spans="1:29">
      <c r="B27" s="45"/>
      <c r="C27" s="3"/>
      <c r="D27" s="3"/>
      <c r="E27" s="3"/>
      <c r="G27" s="6">
        <f>100</f>
        <v>100</v>
      </c>
      <c r="H27" s="6">
        <f>SUMPRODUCT(N([TRADE] &lt;= Tabela134[[#This Row],[TRADE]]), [APORTE]) + SUMPRODUCT(N([TRADE] &lt;= Tabela134[[#This Row],[TRADE]]), [APORTE RF])</f>
        <v>2800</v>
      </c>
      <c r="I27" s="6">
        <f>[MONTANTE] - SUMPRODUCT(N([TRADE] &lt;= Tabela134[[#This Row],[TRADE]]), [SAQUE]) + SUMPRODUCT(N([TRADE] &lt; Tabela134[[#This Row],[TRADE]]), [REINVESTIR])</f>
        <v>2800</v>
      </c>
      <c r="J27" s="6">
        <f>TRUNC([APLICAÇÃO]  * SETUP!$A$3, 2)</f>
        <v>1.03</v>
      </c>
      <c r="K27" s="6">
        <f>TRUNC([APLICAÇÃO]  * SETUP!$B$3, 2)</f>
        <v>0.77</v>
      </c>
      <c r="L27" s="6">
        <f>TRUNC([APLICAÇÃO]  * SETUP!$C$3, 2)</f>
        <v>1.94</v>
      </c>
      <c r="M27" s="6">
        <f>TRUNC(SETUP!$G$3  * SETUP!$H$3, 2)</f>
        <v>0.28999999999999998</v>
      </c>
      <c r="N27" s="6">
        <f>ROUND(SETUP!$G$3 * SETUP!$I$3, 2)</f>
        <v>0.57999999999999996</v>
      </c>
      <c r="O27" s="6">
        <f>SETUP!$G$3 + SUM(Tabela134[[#This Row],[EMOL CP]]:Tabela134[[#This Row],[OUTRAS CP]])</f>
        <v>19.510000000000002</v>
      </c>
      <c r="P27" s="6">
        <f>TRUNC([APLICAÇÃO] * 2  * SETUP!$A$3, 2)</f>
        <v>2.0699999999999998</v>
      </c>
      <c r="Q27" s="6">
        <f>TRUNC([APLICAÇÃO] * 2  * SETUP!$B$3, 2)</f>
        <v>1.54</v>
      </c>
      <c r="R27" s="6">
        <f>TRUNC([APLICAÇÃO] * 2  * SETUP!$C$3, 2)</f>
        <v>3.89</v>
      </c>
      <c r="S27" s="6">
        <f>TRUNC(SETUP!$G$3  * SETUP!$H$3, 2)</f>
        <v>0.28999999999999998</v>
      </c>
      <c r="T27" s="6">
        <f>ROUND(SETUP!$G$3 * SETUP!$I$3, 2)</f>
        <v>0.57999999999999996</v>
      </c>
      <c r="U27" s="6">
        <f>SETUP!$G$3 + SUM(Tabela134[[#This Row],[EMOL VD]]:Tabela134[[#This Row],[OUTRAS VD]])</f>
        <v>23.27</v>
      </c>
      <c r="V27" s="6">
        <f>((([APLICAÇÃO] * 2) - [TAXA VD]) - ([APLICAÇÃO] + [TAXA CP])) * 0.85</f>
        <v>2343.6369999999993</v>
      </c>
      <c r="W27" s="14">
        <f>[APLICAÇÃO] - (ROUND([RENDA FIXA] * 0.1,2))</f>
        <v>2800</v>
      </c>
      <c r="X27" s="4">
        <f>Tabela134[[#This Row],[PERDA MAX]]/Tabela134[[#This Row],[APLICAÇÃO]]</f>
        <v>1</v>
      </c>
      <c r="Y27" s="15">
        <f>IF([LUCRO] &lt; ([RENDA FIXA]/2), 0.8, 0.8)</f>
        <v>0.8</v>
      </c>
      <c r="Z27" s="6">
        <f>IF([LUCRO] &lt; 0, 0, ROUND([LUCRO]*[NO BOLSO], 2))</f>
        <v>0</v>
      </c>
      <c r="AA27" s="6">
        <f>[LUCRO]-[PROTEÇÃO MÊS]</f>
        <v>0</v>
      </c>
      <c r="AB27" s="6">
        <f>[RENDA FIXA] + [PROTEÇÃO MÊS] - [APORTE RF]</f>
        <v>0</v>
      </c>
      <c r="AC27" s="6">
        <f>[TOT RF] + [REINVESTIR] + [APLICAÇÃO]</f>
        <v>2800</v>
      </c>
    </row>
    <row r="28" spans="1:29">
      <c r="B28" s="45"/>
      <c r="C28" s="3"/>
      <c r="D28" s="3"/>
      <c r="E28" s="3"/>
      <c r="G28" s="6">
        <f>100</f>
        <v>100</v>
      </c>
      <c r="H28" s="6">
        <f>SUMPRODUCT(N([TRADE] &lt;= Tabela134[[#This Row],[TRADE]]), [APORTE]) + SUMPRODUCT(N([TRADE] &lt;= Tabela134[[#This Row],[TRADE]]), [APORTE RF])</f>
        <v>2800</v>
      </c>
      <c r="I28" s="6">
        <f>[MONTANTE] - SUMPRODUCT(N([TRADE] &lt;= Tabela134[[#This Row],[TRADE]]), [SAQUE]) + SUMPRODUCT(N([TRADE] &lt; Tabela134[[#This Row],[TRADE]]), [REINVESTIR])</f>
        <v>2800</v>
      </c>
      <c r="J28" s="6">
        <f>TRUNC([APLICAÇÃO]  * SETUP!$A$3, 2)</f>
        <v>1.03</v>
      </c>
      <c r="K28" s="6">
        <f>TRUNC([APLICAÇÃO]  * SETUP!$B$3, 2)</f>
        <v>0.77</v>
      </c>
      <c r="L28" s="6">
        <f>TRUNC([APLICAÇÃO]  * SETUP!$C$3, 2)</f>
        <v>1.94</v>
      </c>
      <c r="M28" s="6">
        <f>TRUNC(SETUP!$G$3  * SETUP!$H$3, 2)</f>
        <v>0.28999999999999998</v>
      </c>
      <c r="N28" s="6">
        <f>ROUND(SETUP!$G$3 * SETUP!$I$3, 2)</f>
        <v>0.57999999999999996</v>
      </c>
      <c r="O28" s="6">
        <f>SETUP!$G$3 + SUM(Tabela134[[#This Row],[EMOL CP]]:Tabela134[[#This Row],[OUTRAS CP]])</f>
        <v>19.510000000000002</v>
      </c>
      <c r="P28" s="6">
        <f>TRUNC([APLICAÇÃO] * 2  * SETUP!$A$3, 2)</f>
        <v>2.0699999999999998</v>
      </c>
      <c r="Q28" s="6">
        <f>TRUNC([APLICAÇÃO] * 2  * SETUP!$B$3, 2)</f>
        <v>1.54</v>
      </c>
      <c r="R28" s="6">
        <f>TRUNC([APLICAÇÃO] * 2  * SETUP!$C$3, 2)</f>
        <v>3.89</v>
      </c>
      <c r="S28" s="6">
        <f>TRUNC(SETUP!$G$3  * SETUP!$H$3, 2)</f>
        <v>0.28999999999999998</v>
      </c>
      <c r="T28" s="6">
        <f>ROUND(SETUP!$G$3 * SETUP!$I$3, 2)</f>
        <v>0.57999999999999996</v>
      </c>
      <c r="U28" s="6">
        <f>SETUP!$G$3 + SUM(Tabela134[[#This Row],[EMOL VD]]:Tabela134[[#This Row],[OUTRAS VD]])</f>
        <v>23.27</v>
      </c>
      <c r="V28" s="6">
        <f>((([APLICAÇÃO] * 2) - [TAXA VD]) - ([APLICAÇÃO] + [TAXA CP])) * 0.85</f>
        <v>2343.6369999999993</v>
      </c>
      <c r="W28" s="14">
        <f>[APLICAÇÃO] - (ROUND([RENDA FIXA] * 0.1,2))</f>
        <v>2800</v>
      </c>
      <c r="X28" s="4">
        <f>Tabela134[[#This Row],[PERDA MAX]]/Tabela134[[#This Row],[APLICAÇÃO]]</f>
        <v>1</v>
      </c>
      <c r="Y28" s="15">
        <f>IF([LUCRO] &lt; ([RENDA FIXA]/2), 0.8, 0.8)</f>
        <v>0.8</v>
      </c>
      <c r="Z28" s="6">
        <f>IF([LUCRO] &lt; 0, 0, ROUND([LUCRO]*[NO BOLSO], 2))</f>
        <v>0</v>
      </c>
      <c r="AA28" s="6">
        <f>[LUCRO]-[PROTEÇÃO MÊS]</f>
        <v>0</v>
      </c>
      <c r="AB28" s="6">
        <f>[RENDA FIXA] + [PROTEÇÃO MÊS] - [APORTE RF]</f>
        <v>0</v>
      </c>
      <c r="AC28" s="6">
        <f>[TOT RF] + [REINVESTIR] + [APLICAÇÃO]</f>
        <v>2800</v>
      </c>
    </row>
    <row r="29" spans="1:29">
      <c r="B29" s="45"/>
      <c r="C29" s="3"/>
      <c r="D29" s="3"/>
      <c r="E29" s="3"/>
      <c r="G29" s="6">
        <f>100</f>
        <v>100</v>
      </c>
      <c r="H29" s="6">
        <f>SUMPRODUCT(N([TRADE] &lt;= Tabela134[[#This Row],[TRADE]]), [APORTE]) + SUMPRODUCT(N([TRADE] &lt;= Tabela134[[#This Row],[TRADE]]), [APORTE RF])</f>
        <v>2800</v>
      </c>
      <c r="I29" s="6">
        <f>[MONTANTE] - SUMPRODUCT(N([TRADE] &lt;= Tabela134[[#This Row],[TRADE]]), [SAQUE]) + SUMPRODUCT(N([TRADE] &lt; Tabela134[[#This Row],[TRADE]]), [REINVESTIR])</f>
        <v>2800</v>
      </c>
      <c r="J29" s="6">
        <f>TRUNC([APLICAÇÃO]  * SETUP!$A$3, 2)</f>
        <v>1.03</v>
      </c>
      <c r="K29" s="6">
        <f>TRUNC([APLICAÇÃO]  * SETUP!$B$3, 2)</f>
        <v>0.77</v>
      </c>
      <c r="L29" s="6">
        <f>TRUNC([APLICAÇÃO]  * SETUP!$C$3, 2)</f>
        <v>1.94</v>
      </c>
      <c r="M29" s="6">
        <f>TRUNC(SETUP!$G$3  * SETUP!$H$3, 2)</f>
        <v>0.28999999999999998</v>
      </c>
      <c r="N29" s="6">
        <f>ROUND(SETUP!$G$3 * SETUP!$I$3, 2)</f>
        <v>0.57999999999999996</v>
      </c>
      <c r="O29" s="6">
        <f>SETUP!$G$3 + SUM(Tabela134[[#This Row],[EMOL CP]]:Tabela134[[#This Row],[OUTRAS CP]])</f>
        <v>19.510000000000002</v>
      </c>
      <c r="P29" s="6">
        <f>TRUNC([APLICAÇÃO] * 2  * SETUP!$A$3, 2)</f>
        <v>2.0699999999999998</v>
      </c>
      <c r="Q29" s="6">
        <f>TRUNC([APLICAÇÃO] * 2  * SETUP!$B$3, 2)</f>
        <v>1.54</v>
      </c>
      <c r="R29" s="6">
        <f>TRUNC([APLICAÇÃO] * 2  * SETUP!$C$3, 2)</f>
        <v>3.89</v>
      </c>
      <c r="S29" s="6">
        <f>TRUNC(SETUP!$G$3  * SETUP!$H$3, 2)</f>
        <v>0.28999999999999998</v>
      </c>
      <c r="T29" s="6">
        <f>ROUND(SETUP!$G$3 * SETUP!$I$3, 2)</f>
        <v>0.57999999999999996</v>
      </c>
      <c r="U29" s="6">
        <f>SETUP!$G$3 + SUM(Tabela134[[#This Row],[EMOL VD]]:Tabela134[[#This Row],[OUTRAS VD]])</f>
        <v>23.27</v>
      </c>
      <c r="V29" s="6">
        <f>((([APLICAÇÃO] * 2) - [TAXA VD]) - ([APLICAÇÃO] + [TAXA CP])) * 0.85</f>
        <v>2343.6369999999993</v>
      </c>
      <c r="W29" s="14">
        <f>[APLICAÇÃO] - (ROUND([RENDA FIXA] * 0.1,2))</f>
        <v>2800</v>
      </c>
      <c r="X29" s="4">
        <f>Tabela134[[#This Row],[PERDA MAX]]/Tabela134[[#This Row],[APLICAÇÃO]]</f>
        <v>1</v>
      </c>
      <c r="Y29" s="15">
        <f>IF([LUCRO] &lt; ([RENDA FIXA]/2), 0.8, 0.8)</f>
        <v>0.8</v>
      </c>
      <c r="Z29" s="6">
        <f>IF([LUCRO] &lt; 0, 0, ROUND([LUCRO]*[NO BOLSO], 2))</f>
        <v>0</v>
      </c>
      <c r="AA29" s="6">
        <f>[LUCRO]-[PROTEÇÃO MÊS]</f>
        <v>0</v>
      </c>
      <c r="AB29" s="6">
        <f>[RENDA FIXA] + [PROTEÇÃO MÊS] - [APORTE RF]</f>
        <v>0</v>
      </c>
      <c r="AC29" s="6">
        <f>[TOT RF] + [REINVESTIR] + [APLICAÇÃO]</f>
        <v>2800</v>
      </c>
    </row>
    <row r="30" spans="1:29">
      <c r="A30" s="44"/>
      <c r="B30" s="46"/>
      <c r="C30" s="21"/>
      <c r="D30" s="21"/>
      <c r="E30" s="21"/>
      <c r="F30" s="21"/>
      <c r="G30" s="22">
        <f>100</f>
        <v>100</v>
      </c>
      <c r="H30" s="22">
        <f>SUMPRODUCT(N([TRADE] &lt;= Tabela134[[#This Row],[TRADE]]), [APORTE]) + SUMPRODUCT(N([TRADE] &lt;= Tabela134[[#This Row],[TRADE]]), [APORTE RF])</f>
        <v>2800</v>
      </c>
      <c r="I30" s="22">
        <f>[MONTANTE] - SUMPRODUCT(N([TRADE] &lt;= Tabela134[[#This Row],[TRADE]]), [SAQUE]) + SUMPRODUCT(N([TRADE] &lt; Tabela134[[#This Row],[TRADE]]), [REINVESTIR])</f>
        <v>2800</v>
      </c>
      <c r="J30" s="22">
        <f>TRUNC([APLICAÇÃO]  * SETUP!$A$3, 2)</f>
        <v>1.03</v>
      </c>
      <c r="K30" s="22">
        <f>TRUNC([APLICAÇÃO]  * SETUP!$B$3, 2)</f>
        <v>0.77</v>
      </c>
      <c r="L30" s="22">
        <f>TRUNC([APLICAÇÃO]  * SETUP!$C$3, 2)</f>
        <v>1.94</v>
      </c>
      <c r="M30" s="22">
        <f>TRUNC(SETUP!$G$3  * SETUP!$H$3, 2)</f>
        <v>0.28999999999999998</v>
      </c>
      <c r="N30" s="22">
        <f>ROUND(SETUP!$G$3 * SETUP!$I$3, 2)</f>
        <v>0.57999999999999996</v>
      </c>
      <c r="O30" s="22">
        <f>SETUP!$G$3 + SUM(Tabela134[[#This Row],[EMOL CP]]:Tabela134[[#This Row],[OUTRAS CP]])</f>
        <v>19.510000000000002</v>
      </c>
      <c r="P30" s="22">
        <f>TRUNC([APLICAÇÃO] * 2  * SETUP!$A$3, 2)</f>
        <v>2.0699999999999998</v>
      </c>
      <c r="Q30" s="22">
        <f>TRUNC([APLICAÇÃO] * 2  * SETUP!$B$3, 2)</f>
        <v>1.54</v>
      </c>
      <c r="R30" s="22">
        <f>TRUNC([APLICAÇÃO] * 2  * SETUP!$C$3, 2)</f>
        <v>3.89</v>
      </c>
      <c r="S30" s="22">
        <f>TRUNC(SETUP!$G$3  * SETUP!$H$3, 2)</f>
        <v>0.28999999999999998</v>
      </c>
      <c r="T30" s="22">
        <f>ROUND(SETUP!$G$3 * SETUP!$I$3, 2)</f>
        <v>0.57999999999999996</v>
      </c>
      <c r="U30" s="22">
        <f>SETUP!$G$3 + SUM(Tabela134[[#This Row],[EMOL VD]]:Tabela134[[#This Row],[OUTRAS VD]])</f>
        <v>23.27</v>
      </c>
      <c r="V30" s="22">
        <f>((([APLICAÇÃO] * 2) - [TAXA VD]) - ([APLICAÇÃO] + [TAXA CP])) * 0.85</f>
        <v>2343.6369999999993</v>
      </c>
      <c r="W30" s="23">
        <f>[APLICAÇÃO] - (ROUND([RENDA FIXA] * 0.1,2))</f>
        <v>2800</v>
      </c>
      <c r="X30" s="24">
        <f>Tabela134[[#This Row],[PERDA MAX]]/Tabela134[[#This Row],[APLICAÇÃO]]</f>
        <v>1</v>
      </c>
      <c r="Y30" s="25">
        <f>IF([LUCRO] &lt; ([RENDA FIXA]/2), 0.8, 0.8)</f>
        <v>0.8</v>
      </c>
      <c r="Z30" s="22">
        <f>IF([LUCRO] &lt; 0, 0, ROUND([LUCRO]*[NO BOLSO], 2))</f>
        <v>0</v>
      </c>
      <c r="AA30" s="22">
        <f>[LUCRO]-[PROTEÇÃO MÊS]</f>
        <v>0</v>
      </c>
      <c r="AB30" s="22">
        <f>[RENDA FIXA] + [PROTEÇÃO MÊS] - [APORTE RF]</f>
        <v>0</v>
      </c>
      <c r="AC30" s="22">
        <f>[TOT RF] + [REINVESTIR] + [APLICAÇÃO]</f>
        <v>2800</v>
      </c>
    </row>
    <row r="31" spans="1:29">
      <c r="A31" s="44"/>
      <c r="B31" s="46"/>
      <c r="C31" s="21"/>
      <c r="D31" s="21"/>
      <c r="E31" s="21"/>
      <c r="F31" s="21"/>
      <c r="G31" s="22">
        <f>100</f>
        <v>100</v>
      </c>
      <c r="H31" s="22">
        <f>SUMPRODUCT(N([TRADE] &lt;= Tabela134[[#This Row],[TRADE]]), [APORTE]) + SUMPRODUCT(N([TRADE] &lt;= Tabela134[[#This Row],[TRADE]]), [APORTE RF])</f>
        <v>2800</v>
      </c>
      <c r="I31" s="22">
        <f>[MONTANTE] - SUMPRODUCT(N([TRADE] &lt;= Tabela134[[#This Row],[TRADE]]), [SAQUE]) + SUMPRODUCT(N([TRADE] &lt; Tabela134[[#This Row],[TRADE]]), [REINVESTIR])</f>
        <v>2800</v>
      </c>
      <c r="J31" s="22">
        <f>TRUNC([APLICAÇÃO]  * SETUP!$A$3, 2)</f>
        <v>1.03</v>
      </c>
      <c r="K31" s="22">
        <f>TRUNC([APLICAÇÃO]  * SETUP!$B$3, 2)</f>
        <v>0.77</v>
      </c>
      <c r="L31" s="22">
        <f>TRUNC([APLICAÇÃO]  * SETUP!$C$3, 2)</f>
        <v>1.94</v>
      </c>
      <c r="M31" s="22">
        <f>TRUNC(SETUP!$G$3  * SETUP!$H$3, 2)</f>
        <v>0.28999999999999998</v>
      </c>
      <c r="N31" s="22">
        <f>ROUND(SETUP!$G$3 * SETUP!$I$3, 2)</f>
        <v>0.57999999999999996</v>
      </c>
      <c r="O31" s="22">
        <f>SETUP!$G$3 + SUM(Tabela134[[#This Row],[EMOL CP]]:Tabela134[[#This Row],[OUTRAS CP]])</f>
        <v>19.510000000000002</v>
      </c>
      <c r="P31" s="22">
        <f>TRUNC([APLICAÇÃO] * 2  * SETUP!$A$3, 2)</f>
        <v>2.0699999999999998</v>
      </c>
      <c r="Q31" s="22">
        <f>TRUNC([APLICAÇÃO] * 2  * SETUP!$B$3, 2)</f>
        <v>1.54</v>
      </c>
      <c r="R31" s="22">
        <f>TRUNC([APLICAÇÃO] * 2  * SETUP!$C$3, 2)</f>
        <v>3.89</v>
      </c>
      <c r="S31" s="22">
        <f>TRUNC(SETUP!$G$3  * SETUP!$H$3, 2)</f>
        <v>0.28999999999999998</v>
      </c>
      <c r="T31" s="22">
        <f>ROUND(SETUP!$G$3 * SETUP!$I$3, 2)</f>
        <v>0.57999999999999996</v>
      </c>
      <c r="U31" s="22">
        <f>SETUP!$G$3 + SUM(Tabela134[[#This Row],[EMOL VD]]:Tabela134[[#This Row],[OUTRAS VD]])</f>
        <v>23.27</v>
      </c>
      <c r="V31" s="22">
        <f>((([APLICAÇÃO] * 2) - [TAXA VD]) - ([APLICAÇÃO] + [TAXA CP])) * 0.85</f>
        <v>2343.6369999999993</v>
      </c>
      <c r="W31" s="23">
        <f>[APLICAÇÃO] - (ROUND([RENDA FIXA] * 0.1,2))</f>
        <v>2800</v>
      </c>
      <c r="X31" s="24">
        <f>Tabela134[[#This Row],[PERDA MAX]]/Tabela134[[#This Row],[APLICAÇÃO]]</f>
        <v>1</v>
      </c>
      <c r="Y31" s="25">
        <f>IF([LUCRO] &lt; ([RENDA FIXA]/2), 0.8, 0.8)</f>
        <v>0.8</v>
      </c>
      <c r="Z31" s="22">
        <f>IF([LUCRO] &lt; 0, 0, ROUND([LUCRO]*[NO BOLSO], 2))</f>
        <v>0</v>
      </c>
      <c r="AA31" s="22">
        <f>[LUCRO]-[PROTEÇÃO MÊS]</f>
        <v>0</v>
      </c>
      <c r="AB31" s="22">
        <f>[RENDA FIXA] + [PROTEÇÃO MÊS] - [APORTE RF]</f>
        <v>0</v>
      </c>
      <c r="AC31" s="22">
        <f>[TOT RF] + [REINVESTIR] + [APLICAÇÃO]</f>
        <v>2800</v>
      </c>
    </row>
    <row r="32" spans="1:29">
      <c r="A32" s="1" t="s">
        <v>37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8"/>
      <c r="X32" s="17"/>
      <c r="Z32" s="17"/>
      <c r="AA32" s="17"/>
      <c r="AB32" s="17"/>
      <c r="AC32" s="1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I10" sqref="I10"/>
    </sheetView>
  </sheetViews>
  <sheetFormatPr defaultRowHeight="11.25"/>
  <cols>
    <col min="1" max="1" width="10" style="26" bestFit="1" customWidth="1"/>
    <col min="2" max="2" width="19.85546875" style="3" bestFit="1" customWidth="1"/>
    <col min="3" max="3" width="17" style="3" bestFit="1" customWidth="1"/>
    <col min="4" max="4" width="11.42578125" style="1" bestFit="1" customWidth="1"/>
    <col min="5" max="5" width="12.42578125" style="1" bestFit="1" customWidth="1"/>
    <col min="6" max="6" width="12.85546875" style="13" bestFit="1" customWidth="1"/>
    <col min="7" max="7" width="15.140625" style="1" bestFit="1" customWidth="1"/>
    <col min="8" max="8" width="12.28515625" style="1" bestFit="1" customWidth="1"/>
    <col min="9" max="9" width="13.5703125" style="1" bestFit="1" customWidth="1"/>
    <col min="10" max="10" width="9.85546875" style="1" bestFit="1" customWidth="1"/>
    <col min="11" max="16384" width="9.140625" style="1"/>
  </cols>
  <sheetData>
    <row r="1" spans="1:10" s="27" customFormat="1" ht="12" thickBot="1">
      <c r="A1" s="38" t="s">
        <v>3</v>
      </c>
      <c r="B1" s="39" t="s">
        <v>39</v>
      </c>
      <c r="C1" s="39" t="s">
        <v>40</v>
      </c>
      <c r="D1" s="40" t="s">
        <v>41</v>
      </c>
      <c r="E1" s="40" t="s">
        <v>42</v>
      </c>
      <c r="F1" s="39" t="s">
        <v>43</v>
      </c>
      <c r="G1" s="39" t="s">
        <v>44</v>
      </c>
      <c r="H1" s="39" t="s">
        <v>49</v>
      </c>
      <c r="I1" s="39" t="s">
        <v>50</v>
      </c>
      <c r="J1" s="39" t="s">
        <v>33</v>
      </c>
    </row>
    <row r="2" spans="1:10" ht="12" thickTop="1">
      <c r="A2" s="41">
        <f>VOLATILIDADE!B2</f>
        <v>41000</v>
      </c>
      <c r="B2" s="42">
        <f>Tabela13[PROTEÇÃO MÊS]+Tabela134[PROTEÇÃO MÊS]+Tabela1[PROTEÇÃO MÊS]</f>
        <v>293.5</v>
      </c>
      <c r="C2" s="3">
        <v>0</v>
      </c>
      <c r="D2" s="43">
        <f>C2*25%</f>
        <v>0</v>
      </c>
      <c r="E2" s="42">
        <f>B2+D2</f>
        <v>293.5</v>
      </c>
      <c r="F2" s="53">
        <f>Tabela1[TOT RF]+Tabela13[TOT RF]+SUM($D$2:$D2)</f>
        <v>293.5</v>
      </c>
      <c r="G2" s="42">
        <f>Tabela1[PATRIMÔNIO]+Tabela13[PATRIMÔNIO]</f>
        <v>466.88</v>
      </c>
      <c r="H2" s="4">
        <f>IF((F2-E2) &gt; 0, E2/(F2-E2), 0)</f>
        <v>0</v>
      </c>
      <c r="I2" s="4">
        <f>F2/G2</f>
        <v>0.6286411925976696</v>
      </c>
      <c r="J2" s="15">
        <f>-(1-I2)</f>
        <v>-0.3713588074023304</v>
      </c>
    </row>
    <row r="3" spans="1:10">
      <c r="A3" s="41">
        <f>VOLATILIDADE!B3</f>
        <v>41030</v>
      </c>
      <c r="B3" s="42">
        <f>Tabela13[PROTEÇÃO MÊS]+Tabela134[PROTEÇÃO MÊS]+Tabela1[PROTEÇÃO MÊS]</f>
        <v>393.25</v>
      </c>
      <c r="C3" s="3">
        <v>64.180000000000007</v>
      </c>
      <c r="D3" s="43">
        <f>C3*25%</f>
        <v>16.045000000000002</v>
      </c>
      <c r="E3" s="42">
        <f>B3+D3</f>
        <v>409.29500000000002</v>
      </c>
      <c r="F3" s="53">
        <f>Tabela1[TOT RF]+Tabela13[TOT RF]+SUM($D$2:$D3)</f>
        <v>702.79499999999996</v>
      </c>
      <c r="G3" s="42">
        <f>Tabela1[PATRIMÔNIO]+Tabela13[PATRIMÔNIO]</f>
        <v>1758.44</v>
      </c>
      <c r="H3" s="4">
        <f t="shared" ref="H3:H31" si="0">IF((F3-E3) &gt; 0, E3/(F3-E3), 0)</f>
        <v>1.3945315161839866</v>
      </c>
      <c r="I3" s="4">
        <f t="shared" ref="I3:I31" si="1">F3/G3</f>
        <v>0.39966959350333248</v>
      </c>
      <c r="J3" s="15">
        <f t="shared" ref="J3:J31" si="2">-(1-I3)</f>
        <v>-0.60033040649666747</v>
      </c>
    </row>
    <row r="4" spans="1:10">
      <c r="A4" s="41">
        <f>VOLATILIDADE!B4</f>
        <v>41061</v>
      </c>
      <c r="B4" s="42">
        <f>Tabela13[PROTEÇÃO MÊS]+Tabela134[PROTEÇÃO MÊS]+Tabela1[PROTEÇÃO MÊS]</f>
        <v>1037.6199999999999</v>
      </c>
      <c r="C4" s="3">
        <v>0</v>
      </c>
      <c r="D4" s="43">
        <f>C4*25%</f>
        <v>0</v>
      </c>
      <c r="E4" s="42">
        <f>B4+D4</f>
        <v>1037.6199999999999</v>
      </c>
      <c r="F4" s="53">
        <f>Tabela1[TOT RF]+Tabela13[TOT RF]+SUM($D$2:$D4)</f>
        <v>1740.415</v>
      </c>
      <c r="G4" s="42">
        <f>Tabela1[PATRIMÔNIO]+Tabela13[PATRIMÔNIO]</f>
        <v>3555.46</v>
      </c>
      <c r="H4" s="4">
        <f t="shared" si="0"/>
        <v>1.4764191549456098</v>
      </c>
      <c r="I4" s="4">
        <f t="shared" si="1"/>
        <v>0.48950487419349392</v>
      </c>
      <c r="J4" s="15">
        <f t="shared" si="2"/>
        <v>-0.51049512580650602</v>
      </c>
    </row>
    <row r="5" spans="1:10">
      <c r="A5" s="41">
        <f>VOLATILIDADE!B5</f>
        <v>41091</v>
      </c>
      <c r="B5" s="42">
        <f>Tabela13[PROTEÇÃO MÊS]+Tabela134[PROTEÇÃO MÊS]+Tabela1[PROTEÇÃO MÊS]</f>
        <v>322.47000000000003</v>
      </c>
      <c r="C5" s="3">
        <v>0</v>
      </c>
      <c r="D5" s="43">
        <f>C5*25%</f>
        <v>0</v>
      </c>
      <c r="E5" s="42">
        <f>B5+D5</f>
        <v>322.47000000000003</v>
      </c>
      <c r="F5" s="53">
        <f>Tabela1[TOT RF]+Tabela13[TOT RF]+SUM($D$2:$D5)</f>
        <v>2062.8849999999998</v>
      </c>
      <c r="G5" s="42">
        <f>Tabela1[PATRIMÔNIO]+Tabela13[PATRIMÔNIO]</f>
        <v>3532.75</v>
      </c>
      <c r="H5" s="4">
        <f t="shared" si="0"/>
        <v>0.18528339505232952</v>
      </c>
      <c r="I5" s="4">
        <f t="shared" si="1"/>
        <v>0.58393178119029077</v>
      </c>
      <c r="J5" s="15">
        <f t="shared" si="2"/>
        <v>-0.41606821880970923</v>
      </c>
    </row>
    <row r="6" spans="1:10">
      <c r="A6" s="41">
        <f>VOLATILIDADE!B6</f>
        <v>41122</v>
      </c>
      <c r="B6" s="42">
        <f>Tabela13[PROTEÇÃO MÊS]+Tabela134[PROTEÇÃO MÊS]+Tabela1[PROTEÇÃO MÊS]</f>
        <v>1656.63</v>
      </c>
      <c r="C6" s="3">
        <v>0</v>
      </c>
      <c r="D6" s="43">
        <f t="shared" ref="D6:D22" si="3">C6*25%</f>
        <v>0</v>
      </c>
      <c r="E6" s="42">
        <f t="shared" ref="E6:E10" si="4">B6+D6</f>
        <v>1656.63</v>
      </c>
      <c r="F6" s="53">
        <f>Tabela1[TOT RF]+Tabela13[TOT RF]+SUM($D$2:$D6)</f>
        <v>3719.5150000000003</v>
      </c>
      <c r="G6" s="42">
        <f>Tabela1[PATRIMÔNIO]+Tabela13[PATRIMÔNIO]</f>
        <v>6626.93</v>
      </c>
      <c r="H6" s="4">
        <f t="shared" si="0"/>
        <v>0.8030646400550685</v>
      </c>
      <c r="I6" s="4">
        <f t="shared" si="1"/>
        <v>0.5612727160238602</v>
      </c>
      <c r="J6" s="15">
        <f t="shared" si="2"/>
        <v>-0.4387272839761398</v>
      </c>
    </row>
    <row r="7" spans="1:10">
      <c r="A7" s="41">
        <f>VOLATILIDADE!B7</f>
        <v>41153</v>
      </c>
      <c r="B7" s="42">
        <f>Tabela13[PROTEÇÃO MÊS]+Tabela134[PROTEÇÃO MÊS]+Tabela1[PROTEÇÃO MÊS]</f>
        <v>2630.2</v>
      </c>
      <c r="C7" s="3">
        <v>0</v>
      </c>
      <c r="D7" s="43">
        <f t="shared" si="3"/>
        <v>0</v>
      </c>
      <c r="E7" s="42">
        <f t="shared" si="4"/>
        <v>2630.2</v>
      </c>
      <c r="F7" s="53">
        <f>Tabela1[TOT RF]+Tabela13[TOT RF]+SUM($D$2:$D7)</f>
        <v>6349.7150000000001</v>
      </c>
      <c r="G7" s="42">
        <f>Tabela1[PATRIMÔNIO]+Tabela13[PATRIMÔNIO]</f>
        <v>10938.08</v>
      </c>
      <c r="H7" s="4">
        <f t="shared" si="0"/>
        <v>0.70713520445541944</v>
      </c>
      <c r="I7" s="4">
        <f t="shared" si="1"/>
        <v>0.58051458756929919</v>
      </c>
      <c r="J7" s="15">
        <f t="shared" si="2"/>
        <v>-0.41948541243070081</v>
      </c>
    </row>
    <row r="8" spans="1:10">
      <c r="A8" s="41">
        <f>VOLATILIDADE!B8</f>
        <v>41183</v>
      </c>
      <c r="B8" s="42">
        <f>Tabela13[PROTEÇÃO MÊS]+Tabela134[PROTEÇÃO MÊS]+Tabela1[PROTEÇÃO MÊS]</f>
        <v>3768.66</v>
      </c>
      <c r="C8" s="3">
        <v>0</v>
      </c>
      <c r="D8" s="43">
        <f t="shared" si="3"/>
        <v>0</v>
      </c>
      <c r="E8" s="42">
        <f t="shared" si="4"/>
        <v>3768.66</v>
      </c>
      <c r="F8" s="53">
        <f>Tabela1[TOT RF]+Tabela13[TOT RF]+SUM($D$2:$D8)</f>
        <v>10118.375</v>
      </c>
      <c r="G8" s="42">
        <f>Tabela1[PATRIMÔNIO]+Tabela13[PATRIMÔNIO]</f>
        <v>16672.3</v>
      </c>
      <c r="H8" s="4">
        <f t="shared" si="0"/>
        <v>0.59351640191725141</v>
      </c>
      <c r="I8" s="4">
        <f t="shared" si="1"/>
        <v>0.60689736868938304</v>
      </c>
      <c r="J8" s="15">
        <f t="shared" si="2"/>
        <v>-0.39310263131061696</v>
      </c>
    </row>
    <row r="9" spans="1:10">
      <c r="A9" s="41">
        <f>VOLATILIDADE!B9</f>
        <v>41214</v>
      </c>
      <c r="B9" s="42">
        <f>Tabela13[PROTEÇÃO MÊS]+Tabela134[PROTEÇÃO MÊS]+Tabela1[PROTEÇÃO MÊS]</f>
        <v>5099.87</v>
      </c>
      <c r="C9" s="3">
        <v>0</v>
      </c>
      <c r="D9" s="43">
        <f t="shared" si="3"/>
        <v>0</v>
      </c>
      <c r="E9" s="42">
        <f t="shared" si="4"/>
        <v>5099.87</v>
      </c>
      <c r="F9" s="53">
        <f>Tabela1[TOT RF]+Tabela13[TOT RF]+SUM($D$2:$D9)</f>
        <v>15218.245000000001</v>
      </c>
      <c r="G9" s="42">
        <f>Tabela1[PATRIMÔNIO]+Tabela13[PATRIMÔNIO]</f>
        <v>24070.54</v>
      </c>
      <c r="H9" s="4">
        <f t="shared" si="0"/>
        <v>0.50402065549062969</v>
      </c>
      <c r="I9" s="4">
        <f t="shared" si="1"/>
        <v>0.63223529675694856</v>
      </c>
      <c r="J9" s="15">
        <f t="shared" si="2"/>
        <v>-0.36776470324305144</v>
      </c>
    </row>
    <row r="10" spans="1:10">
      <c r="A10" s="41">
        <f>VOLATILIDADE!B10</f>
        <v>41244</v>
      </c>
      <c r="B10" s="42">
        <f>Tabela13[PROTEÇÃO MÊS]+Tabela134[PROTEÇÃO MÊS]+Tabela1[PROTEÇÃO MÊS]</f>
        <v>6325.71</v>
      </c>
      <c r="C10" s="3">
        <v>0</v>
      </c>
      <c r="D10" s="43">
        <f t="shared" si="3"/>
        <v>0</v>
      </c>
      <c r="E10" s="42">
        <f t="shared" si="4"/>
        <v>6325.71</v>
      </c>
      <c r="F10" s="53">
        <f>Tabela1[TOT RF]+Tabela13[TOT RF]+SUM($D$2:$D10)</f>
        <v>21543.954999999998</v>
      </c>
      <c r="G10" s="42">
        <f>Tabela1[PATRIMÔNIO]+Tabela13[PATRIMÔNIO]</f>
        <v>32512.68</v>
      </c>
      <c r="H10" s="4">
        <f t="shared" si="0"/>
        <v>0.41566619541215172</v>
      </c>
      <c r="I10" s="4">
        <f t="shared" si="1"/>
        <v>0.66263239449962286</v>
      </c>
      <c r="J10" s="15">
        <f t="shared" si="2"/>
        <v>-0.33736760550037714</v>
      </c>
    </row>
    <row r="11" spans="1:10">
      <c r="A11" s="41">
        <f>VOLATILIDADE!B11</f>
        <v>41275</v>
      </c>
      <c r="B11" s="42">
        <f>Tabela13[PROTEÇÃO MÊS]+Tabela134[PROTEÇÃO MÊS]+Tabela1[PROTEÇÃO MÊS]</f>
        <v>7759.1</v>
      </c>
      <c r="C11" s="3">
        <v>0</v>
      </c>
      <c r="D11" s="43">
        <f t="shared" si="3"/>
        <v>0</v>
      </c>
      <c r="E11" s="42">
        <f t="shared" ref="E11:E16" si="5">B11+D11</f>
        <v>7759.1</v>
      </c>
      <c r="F11" s="53">
        <f>Tabela1[TOT RF]+Tabela13[TOT RF]+SUM($D$2:$D11)</f>
        <v>29303.055</v>
      </c>
      <c r="G11" s="42">
        <f>Tabela1[PATRIMÔNIO]+Tabela13[PATRIMÔNIO]</f>
        <v>42746.55</v>
      </c>
      <c r="H11" s="4">
        <f t="shared" si="0"/>
        <v>0.36015207049959025</v>
      </c>
      <c r="I11" s="4">
        <f t="shared" si="1"/>
        <v>0.68550690055688701</v>
      </c>
      <c r="J11" s="15">
        <f t="shared" si="2"/>
        <v>-0.31449309944311299</v>
      </c>
    </row>
    <row r="12" spans="1:10">
      <c r="A12" s="41">
        <f>VOLATILIDADE!B12</f>
        <v>41306</v>
      </c>
      <c r="B12" s="42">
        <f>Tabela13[PROTEÇÃO MÊS]+Tabela134[PROTEÇÃO MÊS]+Tabela1[PROTEÇÃO MÊS]</f>
        <v>9435.19</v>
      </c>
      <c r="C12" s="3">
        <v>0</v>
      </c>
      <c r="D12" s="43">
        <f t="shared" si="3"/>
        <v>0</v>
      </c>
      <c r="E12" s="42">
        <f t="shared" si="5"/>
        <v>9435.19</v>
      </c>
      <c r="F12" s="53">
        <f>Tabela1[TOT RF]+Tabela13[TOT RF]+SUM($D$2:$D12)</f>
        <v>38738.244999999995</v>
      </c>
      <c r="G12" s="42">
        <f>Tabela1[PATRIMÔNIO]+Tabela13[PATRIMÔNIO]</f>
        <v>55075.53</v>
      </c>
      <c r="H12" s="4">
        <f t="shared" si="0"/>
        <v>0.32198656419953492</v>
      </c>
      <c r="I12" s="4">
        <f t="shared" si="1"/>
        <v>0.70336581418281396</v>
      </c>
      <c r="J12" s="15">
        <f t="shared" si="2"/>
        <v>-0.29663418581718604</v>
      </c>
    </row>
    <row r="13" spans="1:10">
      <c r="A13" s="41">
        <f>VOLATILIDADE!B13</f>
        <v>41334</v>
      </c>
      <c r="B13" s="42">
        <f>Tabela13[PROTEÇÃO MÊS]+Tabela134[PROTEÇÃO MÊS]+Tabela1[PROTEÇÃO MÊS]</f>
        <v>11574.51</v>
      </c>
      <c r="C13" s="3">
        <v>0</v>
      </c>
      <c r="D13" s="43">
        <f t="shared" si="3"/>
        <v>0</v>
      </c>
      <c r="E13" s="42">
        <f t="shared" si="5"/>
        <v>11574.51</v>
      </c>
      <c r="F13" s="53">
        <f>Tabela1[TOT RF]+Tabela13[TOT RF]+SUM($D$2:$D13)</f>
        <v>50312.755000000005</v>
      </c>
      <c r="G13" s="42">
        <f>Tabela1[PATRIMÔNIO]+Tabela13[PATRIMÔNIO]</f>
        <v>70343.66</v>
      </c>
      <c r="H13" s="4">
        <f t="shared" si="0"/>
        <v>0.29878767094379211</v>
      </c>
      <c r="I13" s="4">
        <f t="shared" si="1"/>
        <v>0.71524221230456309</v>
      </c>
      <c r="J13" s="15">
        <f t="shared" si="2"/>
        <v>-0.28475778769543691</v>
      </c>
    </row>
    <row r="14" spans="1:10">
      <c r="A14" s="41">
        <f>VOLATILIDADE!B14</f>
        <v>41365</v>
      </c>
      <c r="B14" s="42">
        <f>Tabela13[PROTEÇÃO MÊS]+Tabela134[PROTEÇÃO MÊS]+Tabela1[PROTEÇÃO MÊS]</f>
        <v>14076.1</v>
      </c>
      <c r="C14" s="3">
        <v>0</v>
      </c>
      <c r="D14" s="43">
        <f t="shared" si="3"/>
        <v>0</v>
      </c>
      <c r="E14" s="42">
        <f t="shared" si="5"/>
        <v>14076.1</v>
      </c>
      <c r="F14" s="53">
        <f>Tabela1[TOT RF]+Tabela13[TOT RF]+SUM($D$2:$D14)</f>
        <v>64388.855000000003</v>
      </c>
      <c r="G14" s="42">
        <f>Tabela1[PATRIMÔNIO]+Tabela13[PATRIMÔNIO]</f>
        <v>88738.78</v>
      </c>
      <c r="H14" s="4">
        <f t="shared" si="0"/>
        <v>0.27977199817422044</v>
      </c>
      <c r="I14" s="4">
        <f t="shared" si="1"/>
        <v>0.72559995753829387</v>
      </c>
      <c r="J14" s="15">
        <f t="shared" si="2"/>
        <v>-0.27440004246170613</v>
      </c>
    </row>
    <row r="15" spans="1:10">
      <c r="A15" s="41">
        <f>VOLATILIDADE!B15</f>
        <v>41395</v>
      </c>
      <c r="B15" s="42">
        <f>Tabela13[PROTEÇÃO MÊS]+Tabela134[PROTEÇÃO MÊS]+Tabela1[PROTEÇÃO MÊS]</f>
        <v>17001.21</v>
      </c>
      <c r="C15" s="3">
        <v>0</v>
      </c>
      <c r="D15" s="43">
        <f t="shared" si="3"/>
        <v>0</v>
      </c>
      <c r="E15" s="42">
        <f t="shared" si="5"/>
        <v>17001.21</v>
      </c>
      <c r="F15" s="53">
        <f>Tabela1[TOT RF]+Tabela13[TOT RF]+SUM($D$2:$D15)</f>
        <v>81390.065000000002</v>
      </c>
      <c r="G15" s="42">
        <f>Tabela1[PATRIMÔNIO]+Tabela13[PATRIMÔNIO]</f>
        <v>110790.29000000001</v>
      </c>
      <c r="H15" s="4">
        <f t="shared" si="0"/>
        <v>0.26403963853682438</v>
      </c>
      <c r="I15" s="4">
        <f t="shared" si="1"/>
        <v>0.73463175337838715</v>
      </c>
      <c r="J15" s="15">
        <f t="shared" si="2"/>
        <v>-0.26536824662161285</v>
      </c>
    </row>
    <row r="16" spans="1:10">
      <c r="A16" s="41">
        <f>VOLATILIDADE!B16</f>
        <v>41426</v>
      </c>
      <c r="B16" s="42">
        <f>Tabela13[PROTEÇÃO MÊS]+Tabela134[PROTEÇÃO MÊS]+Tabela1[PROTEÇÃO MÊS]</f>
        <v>20421.61</v>
      </c>
      <c r="C16" s="3">
        <v>0</v>
      </c>
      <c r="D16" s="43">
        <f t="shared" si="3"/>
        <v>0</v>
      </c>
      <c r="E16" s="42">
        <f t="shared" si="5"/>
        <v>20421.61</v>
      </c>
      <c r="F16" s="53">
        <f>Tabela1[TOT RF]+Tabela13[TOT RF]+SUM($D$2:$D16)</f>
        <v>101811.675</v>
      </c>
      <c r="G16" s="42">
        <f>Tabela1[PATRIMÔNIO]+Tabela13[PATRIMÔNIO]</f>
        <v>137117.29999999999</v>
      </c>
      <c r="H16" s="4">
        <f t="shared" si="0"/>
        <v>0.25091035373912035</v>
      </c>
      <c r="I16" s="4">
        <f t="shared" si="1"/>
        <v>0.74251516767030867</v>
      </c>
      <c r="J16" s="15">
        <f t="shared" si="2"/>
        <v>-0.25748483232969133</v>
      </c>
    </row>
    <row r="17" spans="1:10">
      <c r="A17" s="41">
        <f>VOLATILIDADE!B17</f>
        <v>41456</v>
      </c>
      <c r="B17" s="42">
        <f>Tabela13[PROTEÇÃO MÊS]+Tabela134[PROTEÇÃO MÊS]+Tabela1[PROTEÇÃO MÊS]</f>
        <v>24421.14</v>
      </c>
      <c r="C17" s="3">
        <v>0</v>
      </c>
      <c r="D17" s="43">
        <f t="shared" si="3"/>
        <v>0</v>
      </c>
      <c r="E17" s="42">
        <f t="shared" ref="E17:E22" si="6">B17+D17</f>
        <v>24421.14</v>
      </c>
      <c r="F17" s="53">
        <f>Tabela1[TOT RF]+Tabela13[TOT RF]+SUM($D$2:$D17)</f>
        <v>126232.815</v>
      </c>
      <c r="G17" s="42">
        <f>Tabela1[PATRIMÔNIO]+Tabela13[PATRIMÔNIO]</f>
        <v>168443.72999999998</v>
      </c>
      <c r="H17" s="4">
        <f t="shared" si="0"/>
        <v>0.23986581106734564</v>
      </c>
      <c r="I17" s="4">
        <f t="shared" si="1"/>
        <v>0.74940643382808025</v>
      </c>
      <c r="J17" s="15">
        <f t="shared" si="2"/>
        <v>-0.25059356617191975</v>
      </c>
    </row>
    <row r="18" spans="1:10">
      <c r="A18" s="41">
        <f>VOLATILIDADE!B18</f>
        <v>41487</v>
      </c>
      <c r="B18" s="42">
        <f>Tabela13[PROTEÇÃO MÊS]+Tabela134[PROTEÇÃO MÊS]+Tabela1[PROTEÇÃO MÊS]</f>
        <v>29097.86</v>
      </c>
      <c r="C18" s="3">
        <v>0</v>
      </c>
      <c r="D18" s="43">
        <f t="shared" si="3"/>
        <v>0</v>
      </c>
      <c r="E18" s="42">
        <f t="shared" si="6"/>
        <v>29097.86</v>
      </c>
      <c r="F18" s="53">
        <f>Tabela1[TOT RF]+Tabela13[TOT RF]+SUM($D$2:$D18)</f>
        <v>155330.67500000002</v>
      </c>
      <c r="G18" s="42">
        <f>Tabela1[PATRIMÔNIO]+Tabela13[PATRIMÔNIO]</f>
        <v>205616.06000000003</v>
      </c>
      <c r="H18" s="4">
        <f t="shared" si="0"/>
        <v>0.23050947568585867</v>
      </c>
      <c r="I18" s="4">
        <f t="shared" si="1"/>
        <v>0.75544038242927136</v>
      </c>
      <c r="J18" s="15">
        <f t="shared" si="2"/>
        <v>-0.24455961757072864</v>
      </c>
    </row>
    <row r="19" spans="1:10">
      <c r="A19" s="41">
        <f>VOLATILIDADE!B19</f>
        <v>41518</v>
      </c>
      <c r="B19" s="42">
        <f>Tabela13[PROTEÇÃO MÊS]+Tabela134[PROTEÇÃO MÊS]+Tabela1[PROTEÇÃO MÊS]</f>
        <v>34566.44</v>
      </c>
      <c r="C19" s="3">
        <v>0</v>
      </c>
      <c r="D19" s="43">
        <f t="shared" si="3"/>
        <v>0</v>
      </c>
      <c r="E19" s="42">
        <f t="shared" si="6"/>
        <v>34566.44</v>
      </c>
      <c r="F19" s="53">
        <f>Tabela1[TOT RF]+Tabela13[TOT RF]+SUM($D$2:$D19)</f>
        <v>189897.11499999999</v>
      </c>
      <c r="G19" s="42">
        <f>Tabela1[PATRIMÔNIO]+Tabela13[PATRIMÔNIO]</f>
        <v>249624.09999999998</v>
      </c>
      <c r="H19" s="4">
        <f t="shared" si="0"/>
        <v>0.22253453801060225</v>
      </c>
      <c r="I19" s="4">
        <f t="shared" si="1"/>
        <v>0.76073229708189238</v>
      </c>
      <c r="J19" s="15">
        <f t="shared" si="2"/>
        <v>-0.23926770291810762</v>
      </c>
    </row>
    <row r="20" spans="1:10">
      <c r="A20" s="41">
        <f>VOLATILIDADE!B20</f>
        <v>41548</v>
      </c>
      <c r="B20" s="42">
        <f>Tabela13[PROTEÇÃO MÊS]+Tabela134[PROTEÇÃO MÊS]+Tabela1[PROTEÇÃO MÊS]</f>
        <v>40960.92</v>
      </c>
      <c r="C20" s="3">
        <v>0</v>
      </c>
      <c r="D20" s="43">
        <f t="shared" si="3"/>
        <v>0</v>
      </c>
      <c r="E20" s="42">
        <f t="shared" si="6"/>
        <v>40960.92</v>
      </c>
      <c r="F20" s="53">
        <f>Tabela1[TOT RF]+Tabela13[TOT RF]+SUM($D$2:$D20)</f>
        <v>230858.035</v>
      </c>
      <c r="G20" s="42">
        <f>Tabela1[PATRIMÔNIO]+Tabela13[PATRIMÔNIO]</f>
        <v>301625.25</v>
      </c>
      <c r="H20" s="4">
        <f t="shared" si="0"/>
        <v>0.21570059134389694</v>
      </c>
      <c r="I20" s="4">
        <f t="shared" si="1"/>
        <v>0.76538033536648542</v>
      </c>
      <c r="J20" s="15">
        <f t="shared" si="2"/>
        <v>-0.23461966463351458</v>
      </c>
    </row>
    <row r="21" spans="1:10">
      <c r="A21" s="41">
        <f>VOLATILIDADE!B21</f>
        <v>41579</v>
      </c>
      <c r="B21" s="42">
        <f>Tabela13[PROTEÇÃO MÊS]+Tabela134[PROTEÇÃO MÊS]+Tabela1[PROTEÇÃO MÊS]</f>
        <v>48438.080000000002</v>
      </c>
      <c r="C21" s="3">
        <v>0</v>
      </c>
      <c r="D21" s="43">
        <f t="shared" si="3"/>
        <v>0</v>
      </c>
      <c r="E21" s="42">
        <f t="shared" si="6"/>
        <v>48438.080000000002</v>
      </c>
      <c r="F21" s="53">
        <f>Tabela1[TOT RF]+Tabela13[TOT RF]+SUM($D$2:$D21)</f>
        <v>279296.11499999999</v>
      </c>
      <c r="G21" s="42">
        <f>Tabela1[PATRIMÔNIO]+Tabela13[PATRIMÔNIO]</f>
        <v>362972.85</v>
      </c>
      <c r="H21" s="4">
        <f t="shared" si="0"/>
        <v>0.20981760500560445</v>
      </c>
      <c r="I21" s="4">
        <f t="shared" si="1"/>
        <v>0.76946833626812583</v>
      </c>
      <c r="J21" s="15">
        <f t="shared" si="2"/>
        <v>-0.23053166373187417</v>
      </c>
    </row>
    <row r="22" spans="1:10">
      <c r="A22" s="41">
        <f>VOLATILIDADE!B22</f>
        <v>41609</v>
      </c>
      <c r="B22" s="42">
        <f>Tabela13[PROTEÇÃO MÊS]+Tabela134[PROTEÇÃO MÊS]+Tabela1[PROTEÇÃO MÊS]</f>
        <v>57181.279999999999</v>
      </c>
      <c r="C22" s="3">
        <v>0</v>
      </c>
      <c r="D22" s="43">
        <f t="shared" si="3"/>
        <v>0</v>
      </c>
      <c r="E22" s="42">
        <f t="shared" si="6"/>
        <v>57181.279999999999</v>
      </c>
      <c r="F22" s="53">
        <f>Tabela1[TOT RF]+Tabela13[TOT RF]+SUM($D$2:$D22)</f>
        <v>336477.39499999996</v>
      </c>
      <c r="G22" s="42">
        <f>Tabela1[PATRIMÔNIO]+Tabela13[PATRIMÔNIO]</f>
        <v>435249.45</v>
      </c>
      <c r="H22" s="4">
        <f t="shared" si="0"/>
        <v>0.20473353164973312</v>
      </c>
      <c r="I22" s="4">
        <f t="shared" si="1"/>
        <v>0.77306793839716503</v>
      </c>
      <c r="J22" s="15">
        <f t="shared" si="2"/>
        <v>-0.22693206160283497</v>
      </c>
    </row>
    <row r="23" spans="1:10">
      <c r="A23" s="41">
        <f>VOLATILIDADE!B23</f>
        <v>41640</v>
      </c>
      <c r="B23" s="42">
        <f>Tabela13[PROTEÇÃO MÊS]+Tabela134[PROTEÇÃO MÊS]+Tabela1[PROTEÇÃO MÊS]</f>
        <v>67404.83</v>
      </c>
      <c r="C23" s="3">
        <v>0</v>
      </c>
      <c r="D23" s="43">
        <f t="shared" ref="D23:D28" si="7">C23*25%</f>
        <v>0</v>
      </c>
      <c r="E23" s="42">
        <f t="shared" ref="E23:E28" si="8">B23+D23</f>
        <v>67404.83</v>
      </c>
      <c r="F23" s="53">
        <f>Tabela1[TOT RF]+Tabela13[TOT RF]+SUM($D$2:$D23)</f>
        <v>403882.22499999998</v>
      </c>
      <c r="G23" s="42">
        <f>Tabela1[PATRIMÔNIO]+Tabela13[PATRIMÔNIO]</f>
        <v>520305.48</v>
      </c>
      <c r="H23" s="4">
        <f t="shared" si="0"/>
        <v>0.20032498765630305</v>
      </c>
      <c r="I23" s="4">
        <f t="shared" si="1"/>
        <v>0.77624057505602284</v>
      </c>
      <c r="J23" s="15">
        <f t="shared" si="2"/>
        <v>-0.22375942494397716</v>
      </c>
    </row>
    <row r="24" spans="1:10">
      <c r="A24" s="41">
        <f>VOLATILIDADE!B24</f>
        <v>41671</v>
      </c>
      <c r="B24" s="42">
        <f>Tabela13[PROTEÇÃO MÊS]+Tabela134[PROTEÇÃO MÊS]+Tabela1[PROTEÇÃO MÊS]</f>
        <v>79359.38</v>
      </c>
      <c r="C24" s="3">
        <v>0</v>
      </c>
      <c r="D24" s="43">
        <f t="shared" si="7"/>
        <v>0</v>
      </c>
      <c r="E24" s="42">
        <f t="shared" si="8"/>
        <v>79359.38</v>
      </c>
      <c r="F24" s="53">
        <f>Tabela1[TOT RF]+Tabela13[TOT RF]+SUM($D$2:$D24)</f>
        <v>483241.60499999998</v>
      </c>
      <c r="G24" s="42">
        <f>Tabela1[PATRIMÔNIO]+Tabela13[PATRIMÔNIO]</f>
        <v>620304.71000000008</v>
      </c>
      <c r="H24" s="4">
        <f t="shared" si="0"/>
        <v>0.19649139052851364</v>
      </c>
      <c r="I24" s="4">
        <f t="shared" si="1"/>
        <v>0.77903907097529523</v>
      </c>
      <c r="J24" s="15">
        <f t="shared" si="2"/>
        <v>-0.22096092902470477</v>
      </c>
    </row>
    <row r="25" spans="1:10">
      <c r="A25" s="41">
        <f>VOLATILIDADE!B25</f>
        <v>41699</v>
      </c>
      <c r="B25" s="42">
        <f>Tabela13[PROTEÇÃO MÊS]+Tabela134[PROTEÇÃO MÊS]+Tabela1[PROTEÇÃO MÊS]</f>
        <v>93338.06</v>
      </c>
      <c r="C25" s="3">
        <v>0</v>
      </c>
      <c r="D25" s="43">
        <f t="shared" si="7"/>
        <v>0</v>
      </c>
      <c r="E25" s="42">
        <f t="shared" si="8"/>
        <v>93338.06</v>
      </c>
      <c r="F25" s="53">
        <f>Tabela1[TOT RF]+Tabela13[TOT RF]+SUM($D$2:$D25)</f>
        <v>576579.66500000004</v>
      </c>
      <c r="G25" s="42">
        <f>Tabela1[PATRIMÔNIO]+Tabela13[PATRIMÔNIO]</f>
        <v>737777.28000000014</v>
      </c>
      <c r="H25" s="4">
        <f t="shared" si="0"/>
        <v>0.19314988410403941</v>
      </c>
      <c r="I25" s="4">
        <f t="shared" si="1"/>
        <v>0.7815091093615677</v>
      </c>
      <c r="J25" s="15">
        <f t="shared" si="2"/>
        <v>-0.2184908906384323</v>
      </c>
    </row>
    <row r="26" spans="1:10">
      <c r="A26" s="41">
        <f>VOLATILIDADE!B26</f>
        <v>41730</v>
      </c>
      <c r="B26" s="42">
        <f>Tabela13[PROTEÇÃO MÊS]+Tabela134[PROTEÇÃO MÊS]+Tabela1[PROTEÇÃO MÊS]</f>
        <v>109683.55</v>
      </c>
      <c r="C26" s="3">
        <v>0</v>
      </c>
      <c r="D26" s="43">
        <f t="shared" si="7"/>
        <v>0</v>
      </c>
      <c r="E26" s="42">
        <f t="shared" si="8"/>
        <v>109683.55</v>
      </c>
      <c r="F26" s="53">
        <f>Tabela1[TOT RF]+Tabela13[TOT RF]+SUM($D$2:$D26)</f>
        <v>686263.21500000008</v>
      </c>
      <c r="G26" s="42">
        <f>Tabela1[PATRIMÔNIO]+Tabela13[PATRIMÔNIO]</f>
        <v>875681.71000000008</v>
      </c>
      <c r="H26" s="4">
        <f t="shared" si="0"/>
        <v>0.19023138805979223</v>
      </c>
      <c r="I26" s="4">
        <f t="shared" si="1"/>
        <v>0.7836902463110712</v>
      </c>
      <c r="J26" s="15">
        <f t="shared" si="2"/>
        <v>-0.2163097536889288</v>
      </c>
    </row>
    <row r="27" spans="1:10">
      <c r="A27" s="41">
        <f>VOLATILIDADE!B27</f>
        <v>41760</v>
      </c>
      <c r="B27" s="42">
        <f>Tabela13[PROTEÇÃO MÊS]+Tabela134[PROTEÇÃO MÊS]+Tabela1[PROTEÇÃO MÊS]</f>
        <v>128796.60999999999</v>
      </c>
      <c r="C27" s="3">
        <v>0</v>
      </c>
      <c r="D27" s="43">
        <f t="shared" si="7"/>
        <v>0</v>
      </c>
      <c r="E27" s="42">
        <f t="shared" si="8"/>
        <v>128796.60999999999</v>
      </c>
      <c r="F27" s="53">
        <f>Tabela1[TOT RF]+Tabela13[TOT RF]+SUM($D$2:$D27)</f>
        <v>815059.82500000007</v>
      </c>
      <c r="G27" s="42">
        <f>Tabela1[PATRIMÔNIO]+Tabela13[PATRIMÔNIO]</f>
        <v>1037477.48</v>
      </c>
      <c r="H27" s="4">
        <f t="shared" si="0"/>
        <v>0.18767814911950362</v>
      </c>
      <c r="I27" s="4">
        <f t="shared" si="1"/>
        <v>0.78561688394431473</v>
      </c>
      <c r="J27" s="15">
        <f t="shared" si="2"/>
        <v>-0.21438311605568527</v>
      </c>
    </row>
    <row r="28" spans="1:10">
      <c r="A28" s="41">
        <f>VOLATILIDADE!B28</f>
        <v>41791</v>
      </c>
      <c r="B28" s="42">
        <f>Tabela13[PROTEÇÃO MÊS]+Tabela134[PROTEÇÃO MÊS]+Tabela1[PROTEÇÃO MÊS]</f>
        <v>151145.84</v>
      </c>
      <c r="C28" s="3">
        <v>0</v>
      </c>
      <c r="D28" s="43">
        <f t="shared" si="7"/>
        <v>0</v>
      </c>
      <c r="E28" s="42">
        <f t="shared" si="8"/>
        <v>151145.84</v>
      </c>
      <c r="F28" s="53">
        <f>Tabela1[TOT RF]+Tabela13[TOT RF]+SUM($D$2:$D28)</f>
        <v>966205.66500000015</v>
      </c>
      <c r="G28" s="42">
        <f>Tabela1[PATRIMÔNIO]+Tabela13[PATRIMÔNIO]</f>
        <v>1227209.7800000003</v>
      </c>
      <c r="H28" s="4">
        <f t="shared" si="0"/>
        <v>0.18544140609555865</v>
      </c>
      <c r="I28" s="4">
        <f t="shared" si="1"/>
        <v>0.78731907188679673</v>
      </c>
      <c r="J28" s="15">
        <f t="shared" si="2"/>
        <v>-0.21268092811320327</v>
      </c>
    </row>
    <row r="29" spans="1:10">
      <c r="A29" s="41">
        <f>VOLATILIDADE!B29</f>
        <v>41821</v>
      </c>
      <c r="B29" s="42">
        <f>Tabela13[PROTEÇÃO MÊS]+Tabela134[PROTEÇÃO MÊS]+Tabela1[PROTEÇÃO MÊS]</f>
        <v>177279.12999999998</v>
      </c>
      <c r="C29" s="3">
        <v>0</v>
      </c>
      <c r="D29" s="43">
        <f t="shared" ref="D29:D30" si="9">C29*25%</f>
        <v>0</v>
      </c>
      <c r="E29" s="42">
        <f t="shared" ref="E29:E30" si="10">B29+D29</f>
        <v>177279.12999999998</v>
      </c>
      <c r="F29" s="53">
        <f>Tabela1[TOT RF]+Tabela13[TOT RF]+SUM($D$2:$D29)</f>
        <v>1143484.7949999999</v>
      </c>
      <c r="G29" s="42">
        <f>Tabela1[PATRIMÔNIO]+Tabela13[PATRIMÔNIO]</f>
        <v>1449608.7000000002</v>
      </c>
      <c r="H29" s="4">
        <f t="shared" si="0"/>
        <v>0.18347970460305674</v>
      </c>
      <c r="I29" s="4">
        <f t="shared" si="1"/>
        <v>0.78882307687584918</v>
      </c>
      <c r="J29" s="15">
        <f t="shared" si="2"/>
        <v>-0.21117692312415082</v>
      </c>
    </row>
    <row r="30" spans="1:10">
      <c r="A30" s="41">
        <f>VOLATILIDADE!B30</f>
        <v>41852</v>
      </c>
      <c r="B30" s="42">
        <f>Tabela13[PROTEÇÃO MÊS]+Tabela134[PROTEÇÃO MÊS]+Tabela1[PROTEÇÃO MÊS]</f>
        <v>207837.26</v>
      </c>
      <c r="C30" s="3">
        <v>0</v>
      </c>
      <c r="D30" s="43">
        <f t="shared" si="9"/>
        <v>0</v>
      </c>
      <c r="E30" s="42">
        <f t="shared" si="10"/>
        <v>207837.26</v>
      </c>
      <c r="F30" s="53">
        <f>Tabela1[TOT RF]+Tabela13[TOT RF]+SUM($D$2:$D30)</f>
        <v>1351322.0549999999</v>
      </c>
      <c r="G30" s="42">
        <f>Tabela1[PATRIMÔNIO]+Tabela13[PATRIMÔNIO]</f>
        <v>1710205.28</v>
      </c>
      <c r="H30" s="4">
        <f t="shared" si="0"/>
        <v>0.18175778192135911</v>
      </c>
      <c r="I30" s="4">
        <f t="shared" si="1"/>
        <v>0.7901519605880295</v>
      </c>
      <c r="J30" s="15">
        <f t="shared" si="2"/>
        <v>-0.2098480394119705</v>
      </c>
    </row>
    <row r="31" spans="1:10">
      <c r="A31" s="41">
        <f>VOLATILIDADE!B31</f>
        <v>41883</v>
      </c>
      <c r="B31" s="42">
        <f>Tabela13[PROTEÇÃO MÊS]+Tabela134[PROTEÇÃO MÊS]+Tabela1[PROTEÇÃO MÊS]</f>
        <v>243569.38</v>
      </c>
      <c r="C31" s="3">
        <v>0</v>
      </c>
      <c r="D31" s="43">
        <f t="shared" ref="D31" si="11">C31*25%</f>
        <v>0</v>
      </c>
      <c r="E31" s="42">
        <f t="shared" ref="E31" si="12">B31+D31</f>
        <v>243569.38</v>
      </c>
      <c r="F31" s="53">
        <f>Tabela1[TOT RF]+Tabela13[TOT RF]+SUM($D$2:$D31)</f>
        <v>1594891.4350000001</v>
      </c>
      <c r="G31" s="42">
        <f>Tabela1[PATRIMÔNIO]+Tabela13[PATRIMÔNIO]</f>
        <v>2015467.01</v>
      </c>
      <c r="H31" s="4">
        <f t="shared" si="0"/>
        <v>0.1802452487908221</v>
      </c>
      <c r="I31" s="4">
        <f t="shared" si="1"/>
        <v>0.79132599396901071</v>
      </c>
      <c r="J31" s="15">
        <f t="shared" si="2"/>
        <v>-0.20867400603098929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E13" sqref="E13"/>
    </sheetView>
  </sheetViews>
  <sheetFormatPr defaultRowHeight="11.25"/>
  <cols>
    <col min="1" max="1" width="6.85546875" style="1" bestFit="1" customWidth="1"/>
    <col min="2" max="3" width="14.140625" style="1" bestFit="1" customWidth="1"/>
    <col min="4" max="4" width="12.42578125" style="1" bestFit="1" customWidth="1"/>
    <col min="5" max="5" width="11.7109375" style="1" bestFit="1" customWidth="1"/>
    <col min="6" max="6" width="16.140625" style="1" bestFit="1" customWidth="1"/>
    <col min="7" max="16384" width="9.140625" style="1"/>
  </cols>
  <sheetData>
    <row r="1" spans="1:6">
      <c r="A1" s="1" t="s">
        <v>3</v>
      </c>
      <c r="B1" s="1" t="s">
        <v>6</v>
      </c>
      <c r="C1" s="1" t="s">
        <v>45</v>
      </c>
      <c r="D1" s="1" t="s">
        <v>46</v>
      </c>
      <c r="E1" s="1" t="s">
        <v>47</v>
      </c>
      <c r="F1" s="1" t="s">
        <v>48</v>
      </c>
    </row>
    <row r="2" spans="1:6">
      <c r="A2" s="58">
        <f>'RESUMO DE PROTEÇÃO'!A2</f>
        <v>41000</v>
      </c>
      <c r="B2" s="3">
        <f>'RESUMO DE PROTEÇÃO'!E2</f>
        <v>293.5</v>
      </c>
      <c r="C2" s="3">
        <f>[APLICAÇÃO] * 40%</f>
        <v>117.4</v>
      </c>
      <c r="D2" s="3">
        <f>[APLICAÇÃO] * 10%</f>
        <v>29.35</v>
      </c>
      <c r="E2" s="3">
        <f>[APLICAÇÃO] * 25%</f>
        <v>73.375</v>
      </c>
      <c r="F2" s="3">
        <f>[APLICAÇÃO] * 25%</f>
        <v>73.375</v>
      </c>
    </row>
    <row r="3" spans="1:6">
      <c r="A3" s="59">
        <f>'RESUMO DE PROTEÇÃO'!A3</f>
        <v>41030</v>
      </c>
      <c r="B3" s="21">
        <f>'RESUMO DE PROTEÇÃO'!E3</f>
        <v>409.29500000000002</v>
      </c>
      <c r="C3" s="21">
        <f>[APLICAÇÃO] * 40%</f>
        <v>163.71800000000002</v>
      </c>
      <c r="D3" s="21">
        <f>[APLICAÇÃO] * 10%</f>
        <v>40.929500000000004</v>
      </c>
      <c r="E3" s="21">
        <f>[APLICAÇÃO] * 25%</f>
        <v>102.32375</v>
      </c>
      <c r="F3" s="21">
        <f>[APLICAÇÃO] * 25%</f>
        <v>102.32375</v>
      </c>
    </row>
    <row r="4" spans="1:6">
      <c r="A4" s="58">
        <f>'RESUMO DE PROTEÇÃO'!A4</f>
        <v>41061</v>
      </c>
      <c r="B4" s="3">
        <f>'RESUMO DE PROTEÇÃO'!E4</f>
        <v>1037.6199999999999</v>
      </c>
      <c r="C4" s="6">
        <f>[APLICAÇÃO] * 40%</f>
        <v>415.048</v>
      </c>
      <c r="D4" s="6">
        <f>[APLICAÇÃO] * 10%</f>
        <v>103.762</v>
      </c>
      <c r="E4" s="6">
        <f>[APLICAÇÃO] * 25%</f>
        <v>259.40499999999997</v>
      </c>
      <c r="F4" s="6">
        <f>[APLICAÇÃO] * 25%</f>
        <v>259.40499999999997</v>
      </c>
    </row>
    <row r="5" spans="1:6">
      <c r="A5" s="59">
        <f>'RESUMO DE PROTEÇÃO'!A5</f>
        <v>41091</v>
      </c>
      <c r="B5" s="21">
        <f>'RESUMO DE PROTEÇÃO'!E5</f>
        <v>322.47000000000003</v>
      </c>
      <c r="C5" s="22">
        <f>[APLICAÇÃO] * 40%</f>
        <v>128.98800000000003</v>
      </c>
      <c r="D5" s="22">
        <f>[APLICAÇÃO] * 10%</f>
        <v>32.247000000000007</v>
      </c>
      <c r="E5" s="22">
        <f>[APLICAÇÃO] * 25%</f>
        <v>80.617500000000007</v>
      </c>
      <c r="F5" s="22">
        <f>[APLICAÇÃO] * 25%</f>
        <v>80.617500000000007</v>
      </c>
    </row>
    <row r="6" spans="1:6">
      <c r="A6" s="17" t="s">
        <v>37</v>
      </c>
      <c r="B6" s="16">
        <f>SUBTOTAL(109,[APLICAÇÃO])</f>
        <v>2062.8850000000002</v>
      </c>
      <c r="C6" s="16">
        <f>SUBTOTAL(109,[TESOURO DIRETO])</f>
        <v>825.15400000000011</v>
      </c>
      <c r="D6" s="16">
        <f>SUBTOTAL(109,[FUNDO AÇÕES])</f>
        <v>206.28850000000003</v>
      </c>
      <c r="E6" s="16">
        <f>SUBTOTAL(109,[FUNDOS MM])</f>
        <v>515.72125000000005</v>
      </c>
      <c r="F6" s="16">
        <f>SUBTOTAL(109,[FUNDOS RF E REFER.])</f>
        <v>515.72125000000005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2"/>
  <dimension ref="A1:I3"/>
  <sheetViews>
    <sheetView workbookViewId="0">
      <selection activeCell="G5" sqref="G5"/>
    </sheetView>
  </sheetViews>
  <sheetFormatPr defaultRowHeight="11.25"/>
  <cols>
    <col min="1" max="2" width="6.85546875" style="1" bestFit="1" customWidth="1"/>
    <col min="3" max="3" width="7.28515625" style="1" bestFit="1" customWidth="1"/>
    <col min="4" max="5" width="6.85546875" style="1" bestFit="1" customWidth="1"/>
    <col min="6" max="6" width="7.28515625" style="1" bestFit="1" customWidth="1"/>
    <col min="7" max="7" width="11.7109375" style="1" bestFit="1" customWidth="1"/>
    <col min="8" max="8" width="5.42578125" style="1" bestFit="1" customWidth="1"/>
    <col min="9" max="9" width="7.28515625" style="1" bestFit="1" customWidth="1"/>
    <col min="10" max="16384" width="9.140625" style="1"/>
  </cols>
  <sheetData>
    <row r="1" spans="1:9">
      <c r="A1" s="56" t="s">
        <v>10</v>
      </c>
      <c r="B1" s="56"/>
      <c r="C1" s="56"/>
      <c r="D1" s="56" t="s">
        <v>11</v>
      </c>
      <c r="E1" s="56"/>
      <c r="F1" s="56"/>
      <c r="G1" s="57" t="s">
        <v>22</v>
      </c>
      <c r="H1" s="57" t="s">
        <v>18</v>
      </c>
      <c r="I1" s="57" t="s">
        <v>23</v>
      </c>
    </row>
    <row r="2" spans="1:9">
      <c r="A2" s="7" t="s">
        <v>12</v>
      </c>
      <c r="B2" s="7" t="s">
        <v>13</v>
      </c>
      <c r="C2" s="7" t="s">
        <v>14</v>
      </c>
      <c r="D2" s="7" t="s">
        <v>12</v>
      </c>
      <c r="E2" s="7" t="s">
        <v>13</v>
      </c>
      <c r="F2" s="7" t="s">
        <v>14</v>
      </c>
      <c r="G2" s="57"/>
      <c r="H2" s="57"/>
      <c r="I2" s="57"/>
    </row>
    <row r="3" spans="1:9">
      <c r="A3" s="8">
        <v>3.6999999999999999E-4</v>
      </c>
      <c r="B3" s="8">
        <v>2.7499999999999996E-4</v>
      </c>
      <c r="C3" s="8">
        <v>6.9499999999999998E-4</v>
      </c>
      <c r="D3" s="8">
        <v>1.2E-4</v>
      </c>
      <c r="E3" s="8">
        <v>1.8000000000000001E-4</v>
      </c>
      <c r="F3" s="8">
        <v>1.4999999999999999E-4</v>
      </c>
      <c r="G3" s="9">
        <v>14.9</v>
      </c>
      <c r="H3" s="10">
        <v>0.02</v>
      </c>
      <c r="I3" s="10">
        <v>3.9E-2</v>
      </c>
    </row>
  </sheetData>
  <mergeCells count="5">
    <mergeCell ref="A1:C1"/>
    <mergeCell ref="D1:F1"/>
    <mergeCell ref="G1:G2"/>
    <mergeCell ref="H1:H2"/>
    <mergeCell ref="I1:I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VOLATILIDADE</vt:lpstr>
      <vt:lpstr>TRAVA</vt:lpstr>
      <vt:lpstr>TENDENCIA</vt:lpstr>
      <vt:lpstr>RESUMO DE PROTEÇÃO</vt:lpstr>
      <vt:lpstr>DIVISAO PATRIMONIO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2012-03-16T22:49:23Z</dcterms:created>
  <dcterms:modified xsi:type="dcterms:W3CDTF">2012-07-13T19:48:28Z</dcterms:modified>
</cp:coreProperties>
</file>