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2030" windowHeight="5415" tabRatio="648"/>
  </bookViews>
  <sheets>
    <sheet name="NOTAS" sheetId="1" r:id="rId1"/>
    <sheet name="IR" sheetId="8" r:id="rId2"/>
    <sheet name="VOLAT-TENDENCIA" sheetId="3" r:id="rId3"/>
    <sheet name="TRAVA BAIXA" sheetId="4" r:id="rId4"/>
    <sheet name="BORBOLETA" sheetId="5" r:id="rId5"/>
    <sheet name="TRAVA BAIXA NEW" sheetId="6" r:id="rId6"/>
    <sheet name="Plan1" sheetId="7" r:id="rId7"/>
    <sheet name="SETUP" sheetId="2" r:id="rId8"/>
  </sheets>
  <calcPr calcId="124519"/>
</workbook>
</file>

<file path=xl/calcChain.xml><?xml version="1.0" encoding="utf-8"?>
<calcChain xmlns="http://schemas.openxmlformats.org/spreadsheetml/2006/main">
  <c r="I4" i="4"/>
  <c r="J4"/>
  <c r="K4"/>
  <c r="L4"/>
  <c r="H4" s="1"/>
  <c r="M4"/>
  <c r="N4"/>
  <c r="O4"/>
  <c r="P4"/>
  <c r="K71" i="1"/>
  <c r="L71"/>
  <c r="N71"/>
  <c r="S71"/>
  <c r="AB71"/>
  <c r="AC71"/>
  <c r="K70"/>
  <c r="L70"/>
  <c r="N70"/>
  <c r="S70"/>
  <c r="AB70"/>
  <c r="AC70"/>
  <c r="K67" l="1"/>
  <c r="L67"/>
  <c r="N67"/>
  <c r="S67"/>
  <c r="AB67"/>
  <c r="AC67"/>
  <c r="K66"/>
  <c r="L66"/>
  <c r="N66"/>
  <c r="S66"/>
  <c r="AB66"/>
  <c r="AC66"/>
  <c r="K65"/>
  <c r="L65"/>
  <c r="N65"/>
  <c r="S65"/>
  <c r="AB65"/>
  <c r="AC65"/>
  <c r="K69"/>
  <c r="L69"/>
  <c r="N69"/>
  <c r="S69"/>
  <c r="AB69"/>
  <c r="AC69"/>
  <c r="K68" l="1"/>
  <c r="L68"/>
  <c r="N68"/>
  <c r="S68"/>
  <c r="AB68"/>
  <c r="AC68"/>
  <c r="K64"/>
  <c r="L64"/>
  <c r="N64"/>
  <c r="S64"/>
  <c r="AB64"/>
  <c r="AC64"/>
  <c r="K2" i="3"/>
  <c r="K3"/>
  <c r="K4"/>
  <c r="F4" l="1"/>
  <c r="G4"/>
  <c r="H4"/>
  <c r="I4"/>
  <c r="J4"/>
  <c r="F3"/>
  <c r="G3"/>
  <c r="H3"/>
  <c r="I3"/>
  <c r="J3"/>
  <c r="L2" i="8" l="1"/>
  <c r="L3"/>
  <c r="L4"/>
  <c r="L5"/>
  <c r="K63" i="1" l="1"/>
  <c r="L63"/>
  <c r="N63"/>
  <c r="S63"/>
  <c r="AB63"/>
  <c r="AC63"/>
  <c r="K62"/>
  <c r="L62"/>
  <c r="N62"/>
  <c r="S62"/>
  <c r="AB62"/>
  <c r="AC62"/>
  <c r="AH62"/>
  <c r="AI62"/>
  <c r="AJ62"/>
  <c r="K61"/>
  <c r="L61"/>
  <c r="N61"/>
  <c r="S61"/>
  <c r="AB61"/>
  <c r="AC61"/>
  <c r="AE61"/>
  <c r="K60"/>
  <c r="L60"/>
  <c r="N60"/>
  <c r="S60"/>
  <c r="AB60"/>
  <c r="AC60"/>
  <c r="AD60"/>
  <c r="AH60"/>
  <c r="AI60"/>
  <c r="AJ60"/>
  <c r="H5" i="6"/>
  <c r="I5"/>
  <c r="K5"/>
  <c r="J5" s="1"/>
  <c r="L5" s="1"/>
  <c r="M5"/>
  <c r="N5"/>
  <c r="O5" l="1"/>
  <c r="S54" i="1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N54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5"/>
  <c r="N56"/>
  <c r="N57"/>
  <c r="N58"/>
  <c r="N59"/>
  <c r="K57"/>
  <c r="L57"/>
  <c r="U57"/>
  <c r="V57"/>
  <c r="AB57"/>
  <c r="AC57"/>
  <c r="K55"/>
  <c r="L55"/>
  <c r="U55"/>
  <c r="V55"/>
  <c r="AB55"/>
  <c r="AC55"/>
  <c r="AH55"/>
  <c r="AI55"/>
  <c r="AJ55"/>
  <c r="O71" l="1"/>
  <c r="P71"/>
  <c r="Q71"/>
  <c r="R71"/>
  <c r="T71"/>
  <c r="O70"/>
  <c r="P70"/>
  <c r="Q70"/>
  <c r="R70"/>
  <c r="T70"/>
  <c r="O67"/>
  <c r="P67"/>
  <c r="Q67"/>
  <c r="R67"/>
  <c r="T67"/>
  <c r="O66"/>
  <c r="P66"/>
  <c r="Q66"/>
  <c r="R66"/>
  <c r="T66"/>
  <c r="O65"/>
  <c r="P65"/>
  <c r="Q65"/>
  <c r="R65"/>
  <c r="T65"/>
  <c r="O69"/>
  <c r="P69"/>
  <c r="Q69"/>
  <c r="R69"/>
  <c r="T69"/>
  <c r="O68"/>
  <c r="P68"/>
  <c r="Q68"/>
  <c r="R68"/>
  <c r="T68"/>
  <c r="O64"/>
  <c r="P64"/>
  <c r="Q64"/>
  <c r="R64"/>
  <c r="T64"/>
  <c r="O63"/>
  <c r="P63"/>
  <c r="Q63"/>
  <c r="R63"/>
  <c r="T63"/>
  <c r="O62"/>
  <c r="P62"/>
  <c r="Q62"/>
  <c r="R62"/>
  <c r="T62"/>
  <c r="O61"/>
  <c r="P61"/>
  <c r="Q61"/>
  <c r="R61"/>
  <c r="T61"/>
  <c r="O60"/>
  <c r="P60"/>
  <c r="Q60"/>
  <c r="R60"/>
  <c r="T6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1"/>
  <c r="AJ22"/>
  <c r="AJ23"/>
  <c r="AJ24"/>
  <c r="AJ25"/>
  <c r="AJ26"/>
  <c r="AJ27"/>
  <c r="AJ28"/>
  <c r="AJ29"/>
  <c r="AJ31"/>
  <c r="AJ32"/>
  <c r="AJ33"/>
  <c r="AJ34"/>
  <c r="AJ35"/>
  <c r="AJ36"/>
  <c r="AJ37"/>
  <c r="AJ38"/>
  <c r="AJ39"/>
  <c r="AJ40"/>
  <c r="AJ41"/>
  <c r="AJ42"/>
  <c r="AJ43"/>
  <c r="AJ44"/>
  <c r="AJ45"/>
  <c r="AJ46"/>
  <c r="AJ48"/>
  <c r="AJ49"/>
  <c r="AJ50"/>
  <c r="AJ51"/>
  <c r="AJ52"/>
  <c r="AJ53"/>
  <c r="I2" i="8"/>
  <c r="K2" s="1"/>
  <c r="I3"/>
  <c r="K3" s="1"/>
  <c r="I4"/>
  <c r="K4" s="1"/>
  <c r="I5"/>
  <c r="K5" s="1"/>
  <c r="H2"/>
  <c r="J2" s="1"/>
  <c r="H3"/>
  <c r="J3" s="1"/>
  <c r="H4"/>
  <c r="J4" s="1"/>
  <c r="H5"/>
  <c r="J5" s="1"/>
  <c r="U71" i="1" l="1"/>
  <c r="V71"/>
  <c r="W71"/>
  <c r="U70"/>
  <c r="V70"/>
  <c r="W70"/>
  <c r="U67"/>
  <c r="V67"/>
  <c r="W67"/>
  <c r="X67" s="1"/>
  <c r="U66"/>
  <c r="V66"/>
  <c r="W66"/>
  <c r="X66" s="1"/>
  <c r="U65"/>
  <c r="V65"/>
  <c r="W65"/>
  <c r="X65" s="1"/>
  <c r="U69"/>
  <c r="V69"/>
  <c r="W69"/>
  <c r="X69" s="1"/>
  <c r="U68"/>
  <c r="V68"/>
  <c r="W68"/>
  <c r="X68" s="1"/>
  <c r="U64"/>
  <c r="V64"/>
  <c r="W64"/>
  <c r="X64" s="1"/>
  <c r="U63"/>
  <c r="V63"/>
  <c r="W63"/>
  <c r="X63" s="1"/>
  <c r="U62"/>
  <c r="V62"/>
  <c r="W62"/>
  <c r="X62" s="1"/>
  <c r="U61"/>
  <c r="V61"/>
  <c r="W61"/>
  <c r="X61" s="1"/>
  <c r="U60"/>
  <c r="V60"/>
  <c r="W60"/>
  <c r="X60" s="1"/>
  <c r="M5" i="8"/>
  <c r="N5" s="1"/>
  <c r="M4"/>
  <c r="N4" s="1"/>
  <c r="M3"/>
  <c r="N3" s="1"/>
  <c r="M2"/>
  <c r="N2" s="1"/>
  <c r="X71" i="1" l="1"/>
  <c r="X70"/>
  <c r="N6" i="8"/>
  <c r="K56" i="1" l="1"/>
  <c r="L56"/>
  <c r="U56"/>
  <c r="V56"/>
  <c r="AB56"/>
  <c r="AC56"/>
  <c r="K54"/>
  <c r="L54"/>
  <c r="U54"/>
  <c r="V54"/>
  <c r="AB54"/>
  <c r="AC54"/>
  <c r="K53"/>
  <c r="L53"/>
  <c r="U53"/>
  <c r="V53"/>
  <c r="AB53"/>
  <c r="AC53"/>
  <c r="AH53"/>
  <c r="AI53"/>
  <c r="K52"/>
  <c r="L52"/>
  <c r="U52"/>
  <c r="V52"/>
  <c r="AB52"/>
  <c r="AC52"/>
  <c r="AH52"/>
  <c r="AI52"/>
  <c r="K51" l="1"/>
  <c r="L51"/>
  <c r="U51"/>
  <c r="V51"/>
  <c r="AB51"/>
  <c r="AC51"/>
  <c r="AH51"/>
  <c r="AI51"/>
  <c r="K48"/>
  <c r="L48"/>
  <c r="U48"/>
  <c r="V48"/>
  <c r="AB48"/>
  <c r="AC48"/>
  <c r="AE48"/>
  <c r="I5" i="7" l="1"/>
  <c r="J5"/>
  <c r="K5"/>
  <c r="L5"/>
  <c r="M5"/>
  <c r="N5"/>
  <c r="O5" l="1"/>
  <c r="K50" i="1"/>
  <c r="L50"/>
  <c r="V50"/>
  <c r="AB50"/>
  <c r="AC50"/>
  <c r="K58"/>
  <c r="L58" s="1"/>
  <c r="V58"/>
  <c r="U58"/>
  <c r="AB58"/>
  <c r="AC58"/>
  <c r="K47"/>
  <c r="L47"/>
  <c r="U47"/>
  <c r="AB47"/>
  <c r="AC47"/>
  <c r="AE47"/>
  <c r="K46"/>
  <c r="L46"/>
  <c r="U46"/>
  <c r="V46"/>
  <c r="AB46"/>
  <c r="AC46"/>
  <c r="AD46"/>
  <c r="I2" i="7"/>
  <c r="I3"/>
  <c r="I4"/>
  <c r="M4" s="1"/>
  <c r="K2"/>
  <c r="K3"/>
  <c r="K4"/>
  <c r="N4"/>
  <c r="J4"/>
  <c r="N3"/>
  <c r="J3"/>
  <c r="M3"/>
  <c r="N2"/>
  <c r="J2"/>
  <c r="M2"/>
  <c r="H4" i="6"/>
  <c r="M4" s="1"/>
  <c r="I4"/>
  <c r="N4"/>
  <c r="U50" i="1" l="1"/>
  <c r="K4" i="6"/>
  <c r="J4" s="1"/>
  <c r="L4" s="1"/>
  <c r="V47" i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M2" s="1"/>
  <c r="N2"/>
  <c r="K2" l="1"/>
  <c r="J2" s="1"/>
  <c r="L2" s="1"/>
  <c r="O2" l="1"/>
  <c r="K49" i="1" l="1"/>
  <c r="L49"/>
  <c r="U49"/>
  <c r="V49"/>
  <c r="AB49"/>
  <c r="AC49"/>
  <c r="K59"/>
  <c r="L59" s="1"/>
  <c r="AB59"/>
  <c r="V59"/>
  <c r="U59"/>
  <c r="AC59"/>
  <c r="K39"/>
  <c r="L39"/>
  <c r="U39"/>
  <c r="AB39"/>
  <c r="AC39"/>
  <c r="AD39"/>
  <c r="K38"/>
  <c r="L38"/>
  <c r="U38"/>
  <c r="V38"/>
  <c r="AB38"/>
  <c r="AC38"/>
  <c r="AE38"/>
  <c r="AH38"/>
  <c r="AI38"/>
  <c r="V39" l="1"/>
  <c r="K45"/>
  <c r="L45"/>
  <c r="U45"/>
  <c r="V45"/>
  <c r="AB45"/>
  <c r="AC45"/>
  <c r="K41"/>
  <c r="L41" s="1"/>
  <c r="V41"/>
  <c r="U41"/>
  <c r="AB41"/>
  <c r="AC41"/>
  <c r="K37"/>
  <c r="L37"/>
  <c r="U37"/>
  <c r="AB37"/>
  <c r="AC37"/>
  <c r="AE37"/>
  <c r="K36"/>
  <c r="L36"/>
  <c r="AB36"/>
  <c r="U36"/>
  <c r="V36"/>
  <c r="AC36"/>
  <c r="AD36"/>
  <c r="AH36"/>
  <c r="AI36"/>
  <c r="V37" l="1"/>
  <c r="J2" i="5" l="1"/>
  <c r="K2"/>
  <c r="L2"/>
  <c r="U2"/>
  <c r="I2" i="4"/>
  <c r="I3"/>
  <c r="O2"/>
  <c r="O3"/>
  <c r="J2"/>
  <c r="J3"/>
  <c r="M2" i="5" l="1"/>
  <c r="N2" s="1"/>
  <c r="O2" s="1"/>
  <c r="Q2" s="1"/>
  <c r="AE33" i="1"/>
  <c r="AE32"/>
  <c r="AE30"/>
  <c r="AE28"/>
  <c r="AE25"/>
  <c r="AE22"/>
  <c r="AE21"/>
  <c r="AE20"/>
  <c r="AE17"/>
  <c r="AE16"/>
  <c r="AE12"/>
  <c r="AE11"/>
  <c r="AE9"/>
  <c r="AE7"/>
  <c r="AE4"/>
  <c r="AE3"/>
  <c r="AE2"/>
  <c r="P2" i="5" l="1"/>
  <c r="R2"/>
  <c r="S2"/>
  <c r="T2"/>
  <c r="V2" l="1"/>
  <c r="K3" i="4"/>
  <c r="L3" s="1"/>
  <c r="N3" s="1"/>
  <c r="H3" l="1"/>
  <c r="M3"/>
  <c r="P3" l="1"/>
  <c r="K43" i="1"/>
  <c r="L43" s="1"/>
  <c r="AB43"/>
  <c r="U43"/>
  <c r="AC43"/>
  <c r="K40"/>
  <c r="L40" s="1"/>
  <c r="U40"/>
  <c r="AB40"/>
  <c r="AC40"/>
  <c r="K44"/>
  <c r="L44" s="1"/>
  <c r="AB44"/>
  <c r="U44"/>
  <c r="AC44"/>
  <c r="AH44"/>
  <c r="AI44"/>
  <c r="K34"/>
  <c r="L34" s="1"/>
  <c r="AB34"/>
  <c r="U34"/>
  <c r="AC34"/>
  <c r="AD34"/>
  <c r="K33"/>
  <c r="L33" s="1"/>
  <c r="U33"/>
  <c r="AB33"/>
  <c r="AC33"/>
  <c r="AH33"/>
  <c r="AI33"/>
  <c r="V43" l="1"/>
  <c r="V44"/>
  <c r="V40"/>
  <c r="V34"/>
  <c r="V33"/>
  <c r="K32" l="1"/>
  <c r="L32" s="1"/>
  <c r="U32"/>
  <c r="AB32"/>
  <c r="AC32"/>
  <c r="K31"/>
  <c r="L31" s="1"/>
  <c r="AB31"/>
  <c r="U31"/>
  <c r="AC31"/>
  <c r="AH31"/>
  <c r="AI31"/>
  <c r="K2" i="4"/>
  <c r="L2" s="1"/>
  <c r="N2" s="1"/>
  <c r="AD29" i="1"/>
  <c r="AB21"/>
  <c r="AB2"/>
  <c r="AB3"/>
  <c r="AB4"/>
  <c r="AB7"/>
  <c r="AB9"/>
  <c r="AB11"/>
  <c r="AB12"/>
  <c r="AB16"/>
  <c r="AB17"/>
  <c r="AB20"/>
  <c r="AB22"/>
  <c r="AB25"/>
  <c r="AB28"/>
  <c r="AB30"/>
  <c r="AB35"/>
  <c r="K42"/>
  <c r="L42" s="1"/>
  <c r="U42"/>
  <c r="AC42"/>
  <c r="AH42"/>
  <c r="AI42"/>
  <c r="K35"/>
  <c r="L35" s="1"/>
  <c r="U35"/>
  <c r="AC35"/>
  <c r="Y27"/>
  <c r="K30"/>
  <c r="L30" s="1"/>
  <c r="U30"/>
  <c r="AC30"/>
  <c r="K29"/>
  <c r="L29" s="1"/>
  <c r="AB29"/>
  <c r="U29"/>
  <c r="AC29"/>
  <c r="AH29"/>
  <c r="AI29"/>
  <c r="K28"/>
  <c r="L28" s="1"/>
  <c r="U28"/>
  <c r="AC28"/>
  <c r="AH28"/>
  <c r="AI28"/>
  <c r="H2" i="4" l="1"/>
  <c r="M2"/>
  <c r="AB42" i="1"/>
  <c r="V32"/>
  <c r="V31"/>
  <c r="V29"/>
  <c r="V30"/>
  <c r="V28"/>
  <c r="V35"/>
  <c r="V42"/>
  <c r="F2" i="3"/>
  <c r="G2" s="1"/>
  <c r="H2"/>
  <c r="I2" s="1"/>
  <c r="J2" l="1"/>
  <c r="P2" i="4"/>
  <c r="K26" i="1"/>
  <c r="L26" s="1"/>
  <c r="AB26"/>
  <c r="U26"/>
  <c r="AC26"/>
  <c r="K27"/>
  <c r="L27" s="1"/>
  <c r="AB27"/>
  <c r="U27"/>
  <c r="AC27"/>
  <c r="AH27"/>
  <c r="AI27"/>
  <c r="K25"/>
  <c r="L25" s="1"/>
  <c r="U25"/>
  <c r="AC25"/>
  <c r="K24"/>
  <c r="L24" s="1"/>
  <c r="AB24"/>
  <c r="V24"/>
  <c r="AC24"/>
  <c r="AH24"/>
  <c r="AI24"/>
  <c r="K23"/>
  <c r="L23" s="1"/>
  <c r="AB23"/>
  <c r="U23"/>
  <c r="AC23"/>
  <c r="AH23"/>
  <c r="AI23"/>
  <c r="K22"/>
  <c r="L22" s="1"/>
  <c r="U22"/>
  <c r="AC22"/>
  <c r="AH22"/>
  <c r="AI22"/>
  <c r="K21"/>
  <c r="L21" s="1"/>
  <c r="U21"/>
  <c r="AC21"/>
  <c r="AH21"/>
  <c r="AI21"/>
  <c r="V26" l="1"/>
  <c r="V27"/>
  <c r="U24"/>
  <c r="V25"/>
  <c r="V23"/>
  <c r="V22"/>
  <c r="V21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K2"/>
  <c r="K3"/>
  <c r="K4"/>
  <c r="K5"/>
  <c r="K6"/>
  <c r="K7"/>
  <c r="K8"/>
  <c r="K9"/>
  <c r="K10"/>
  <c r="K11"/>
  <c r="K12"/>
  <c r="K13"/>
  <c r="K14"/>
  <c r="K15"/>
  <c r="K16"/>
  <c r="K17"/>
  <c r="K18"/>
  <c r="L18" s="1"/>
  <c r="K19"/>
  <c r="L19" s="1"/>
  <c r="K20"/>
  <c r="L20" s="1"/>
  <c r="U20"/>
  <c r="AC20"/>
  <c r="AB19"/>
  <c r="U19"/>
  <c r="AC19"/>
  <c r="AI19"/>
  <c r="AB18"/>
  <c r="U18"/>
  <c r="AC18"/>
  <c r="V20" l="1"/>
  <c r="V19"/>
  <c r="V18"/>
  <c r="L17"/>
  <c r="U17"/>
  <c r="AC17"/>
  <c r="V17" l="1"/>
  <c r="L16"/>
  <c r="U16"/>
  <c r="AC16"/>
  <c r="V16" l="1"/>
  <c r="AI2"/>
  <c r="AI3"/>
  <c r="AI4"/>
  <c r="AI5"/>
  <c r="AI6"/>
  <c r="AI7"/>
  <c r="AI8"/>
  <c r="AI9"/>
  <c r="AI10"/>
  <c r="AI11"/>
  <c r="AI12"/>
  <c r="AI13"/>
  <c r="AI14"/>
  <c r="L13" l="1"/>
  <c r="AB13"/>
  <c r="V13"/>
  <c r="AC13"/>
  <c r="L14"/>
  <c r="AB14"/>
  <c r="U14"/>
  <c r="AC14"/>
  <c r="L15"/>
  <c r="AB15"/>
  <c r="V15"/>
  <c r="AC15"/>
  <c r="L11"/>
  <c r="V11"/>
  <c r="AC11"/>
  <c r="L12"/>
  <c r="V12"/>
  <c r="AC12"/>
  <c r="L9"/>
  <c r="U9"/>
  <c r="AC9"/>
  <c r="L10"/>
  <c r="AB10"/>
  <c r="V10"/>
  <c r="AC10"/>
  <c r="L7"/>
  <c r="V7"/>
  <c r="AC7"/>
  <c r="L8"/>
  <c r="AB8"/>
  <c r="V8"/>
  <c r="AC8"/>
  <c r="L6"/>
  <c r="AB6"/>
  <c r="U6"/>
  <c r="AC6"/>
  <c r="A72"/>
  <c r="G72" s="1"/>
  <c r="V6" l="1"/>
  <c r="U7"/>
  <c r="U11"/>
  <c r="U8"/>
  <c r="U13"/>
  <c r="U10"/>
  <c r="V9"/>
  <c r="V14"/>
  <c r="U12"/>
  <c r="U15"/>
  <c r="L4"/>
  <c r="L5"/>
  <c r="AB5"/>
  <c r="U5"/>
  <c r="AC5"/>
  <c r="U4"/>
  <c r="AC4"/>
  <c r="V5" l="1"/>
  <c r="V4"/>
  <c r="L3"/>
  <c r="AC3"/>
  <c r="V2"/>
  <c r="AC2"/>
  <c r="M70" l="1"/>
  <c r="M71"/>
  <c r="M67"/>
  <c r="M66"/>
  <c r="M69"/>
  <c r="M65"/>
  <c r="M64"/>
  <c r="M68"/>
  <c r="M62"/>
  <c r="M63"/>
  <c r="M60"/>
  <c r="M61"/>
  <c r="M55"/>
  <c r="M57"/>
  <c r="O57"/>
  <c r="P57"/>
  <c r="Q57"/>
  <c r="R57"/>
  <c r="O55"/>
  <c r="P55"/>
  <c r="Q55"/>
  <c r="R55"/>
  <c r="M54"/>
  <c r="M56"/>
  <c r="O56"/>
  <c r="P56"/>
  <c r="Q56"/>
  <c r="R56"/>
  <c r="O54"/>
  <c r="P54"/>
  <c r="Q54"/>
  <c r="R54"/>
  <c r="M52"/>
  <c r="M53"/>
  <c r="O53"/>
  <c r="P53"/>
  <c r="Q53"/>
  <c r="R53"/>
  <c r="O52"/>
  <c r="P52"/>
  <c r="Q52"/>
  <c r="R52"/>
  <c r="M48"/>
  <c r="M51"/>
  <c r="O51"/>
  <c r="P51"/>
  <c r="Q51"/>
  <c r="R51"/>
  <c r="O48"/>
  <c r="P48"/>
  <c r="Q48"/>
  <c r="R48"/>
  <c r="M58"/>
  <c r="M50"/>
  <c r="O50"/>
  <c r="P50"/>
  <c r="Q50"/>
  <c r="R50"/>
  <c r="O58"/>
  <c r="P58"/>
  <c r="Q58"/>
  <c r="R58"/>
  <c r="M46"/>
  <c r="M47"/>
  <c r="O47"/>
  <c r="P47"/>
  <c r="Q47"/>
  <c r="R47"/>
  <c r="O46"/>
  <c r="P46"/>
  <c r="Q46"/>
  <c r="R46"/>
  <c r="M59"/>
  <c r="M49"/>
  <c r="O49"/>
  <c r="P49"/>
  <c r="Q49"/>
  <c r="R49"/>
  <c r="O59"/>
  <c r="P59"/>
  <c r="Q59"/>
  <c r="R59"/>
  <c r="M38"/>
  <c r="M39"/>
  <c r="O39"/>
  <c r="P39"/>
  <c r="Q39"/>
  <c r="R39"/>
  <c r="O38"/>
  <c r="P38"/>
  <c r="Q38"/>
  <c r="R38"/>
  <c r="M41"/>
  <c r="M45"/>
  <c r="O45"/>
  <c r="P45"/>
  <c r="Q45"/>
  <c r="R45"/>
  <c r="O41"/>
  <c r="P41"/>
  <c r="Q41"/>
  <c r="R41"/>
  <c r="M36"/>
  <c r="M37"/>
  <c r="O37"/>
  <c r="P37"/>
  <c r="Q37"/>
  <c r="R37"/>
  <c r="O36"/>
  <c r="P36"/>
  <c r="Q36"/>
  <c r="R36"/>
  <c r="P15"/>
  <c r="P31"/>
  <c r="P8"/>
  <c r="P24"/>
  <c r="P5"/>
  <c r="P21"/>
  <c r="P44"/>
  <c r="P14"/>
  <c r="P30"/>
  <c r="P3"/>
  <c r="P19"/>
  <c r="P42"/>
  <c r="P12"/>
  <c r="P28"/>
  <c r="P9"/>
  <c r="P25"/>
  <c r="P2"/>
  <c r="P18"/>
  <c r="P34"/>
  <c r="P7"/>
  <c r="P23"/>
  <c r="P43"/>
  <c r="P16"/>
  <c r="P32"/>
  <c r="P13"/>
  <c r="P29"/>
  <c r="P6"/>
  <c r="P22"/>
  <c r="P40"/>
  <c r="P11"/>
  <c r="P27"/>
  <c r="P4"/>
  <c r="P20"/>
  <c r="P35"/>
  <c r="P17"/>
  <c r="P33"/>
  <c r="P10"/>
  <c r="P26"/>
  <c r="M43"/>
  <c r="O43"/>
  <c r="R43"/>
  <c r="Q43"/>
  <c r="O40"/>
  <c r="Q40"/>
  <c r="R40"/>
  <c r="M44"/>
  <c r="M40"/>
  <c r="O44"/>
  <c r="Q44"/>
  <c r="R44"/>
  <c r="O34"/>
  <c r="Q34"/>
  <c r="R34"/>
  <c r="M33"/>
  <c r="M34"/>
  <c r="O33"/>
  <c r="R33"/>
  <c r="Q33"/>
  <c r="O32"/>
  <c r="Q32"/>
  <c r="R32"/>
  <c r="M31"/>
  <c r="M32"/>
  <c r="O31"/>
  <c r="Q31"/>
  <c r="R31"/>
  <c r="M42"/>
  <c r="M35"/>
  <c r="O42"/>
  <c r="Q42"/>
  <c r="R42"/>
  <c r="O35"/>
  <c r="Q35"/>
  <c r="R35"/>
  <c r="M29"/>
  <c r="M30"/>
  <c r="O30"/>
  <c r="Q30"/>
  <c r="R30"/>
  <c r="O29"/>
  <c r="Q29"/>
  <c r="R29"/>
  <c r="M26"/>
  <c r="M28"/>
  <c r="O28"/>
  <c r="Q28"/>
  <c r="R28"/>
  <c r="O26"/>
  <c r="R26"/>
  <c r="Q26"/>
  <c r="M25"/>
  <c r="M27"/>
  <c r="O27"/>
  <c r="R27"/>
  <c r="Q27"/>
  <c r="O25"/>
  <c r="R25"/>
  <c r="Q25"/>
  <c r="M23"/>
  <c r="M24"/>
  <c r="Q24"/>
  <c r="R24"/>
  <c r="O24"/>
  <c r="W24" s="1"/>
  <c r="X24" s="1"/>
  <c r="Q23"/>
  <c r="R23"/>
  <c r="O23"/>
  <c r="W23" s="1"/>
  <c r="X23" s="1"/>
  <c r="Q22"/>
  <c r="R22"/>
  <c r="O22"/>
  <c r="W22" s="1"/>
  <c r="X22" s="1"/>
  <c r="M21"/>
  <c r="M22"/>
  <c r="Q21"/>
  <c r="R21"/>
  <c r="O21"/>
  <c r="W21" s="1"/>
  <c r="X21" s="1"/>
  <c r="M20"/>
  <c r="O20"/>
  <c r="R20"/>
  <c r="Q20"/>
  <c r="O19"/>
  <c r="R19"/>
  <c r="Q19"/>
  <c r="M18"/>
  <c r="M19"/>
  <c r="O18"/>
  <c r="R18"/>
  <c r="Q18"/>
  <c r="M17"/>
  <c r="R17"/>
  <c r="O17"/>
  <c r="Q17"/>
  <c r="M16"/>
  <c r="O16"/>
  <c r="R16"/>
  <c r="Q16"/>
  <c r="M13"/>
  <c r="M14"/>
  <c r="M15"/>
  <c r="O13"/>
  <c r="Q13"/>
  <c r="R13"/>
  <c r="O14"/>
  <c r="Q14"/>
  <c r="R14"/>
  <c r="O15"/>
  <c r="Q15"/>
  <c r="R15"/>
  <c r="M11"/>
  <c r="M12"/>
  <c r="O11"/>
  <c r="Q11"/>
  <c r="R11"/>
  <c r="O12"/>
  <c r="Q12"/>
  <c r="R12"/>
  <c r="M9"/>
  <c r="M10"/>
  <c r="O9"/>
  <c r="Q9"/>
  <c r="R9"/>
  <c r="O10"/>
  <c r="Q10"/>
  <c r="R10"/>
  <c r="M7"/>
  <c r="M8"/>
  <c r="O7"/>
  <c r="Q7"/>
  <c r="R7"/>
  <c r="O8"/>
  <c r="Q8"/>
  <c r="R8"/>
  <c r="M6"/>
  <c r="O6"/>
  <c r="Q6"/>
  <c r="R6"/>
  <c r="R4"/>
  <c r="Q5"/>
  <c r="R2"/>
  <c r="Q3"/>
  <c r="R3"/>
  <c r="Q4"/>
  <c r="R5"/>
  <c r="Q2"/>
  <c r="U3"/>
  <c r="V3"/>
  <c r="M5"/>
  <c r="O5"/>
  <c r="W5" s="1"/>
  <c r="X5" s="1"/>
  <c r="L2"/>
  <c r="U2"/>
  <c r="W6" l="1"/>
  <c r="X6" s="1"/>
  <c r="W8"/>
  <c r="X8" s="1"/>
  <c r="W7"/>
  <c r="X7" s="1"/>
  <c r="W10"/>
  <c r="X10" s="1"/>
  <c r="W9"/>
  <c r="X9" s="1"/>
  <c r="W12"/>
  <c r="X12" s="1"/>
  <c r="W11"/>
  <c r="X11" s="1"/>
  <c r="W15"/>
  <c r="X15" s="1"/>
  <c r="W14"/>
  <c r="X14" s="1"/>
  <c r="W13"/>
  <c r="X13" s="1"/>
  <c r="W16"/>
  <c r="X16" s="1"/>
  <c r="W17"/>
  <c r="X17" s="1"/>
  <c r="W18"/>
  <c r="X18" s="1"/>
  <c r="W19"/>
  <c r="X19" s="1"/>
  <c r="W20"/>
  <c r="X20" s="1"/>
  <c r="W25"/>
  <c r="X25" s="1"/>
  <c r="W27"/>
  <c r="X27" s="1"/>
  <c r="W26"/>
  <c r="X26" s="1"/>
  <c r="W28"/>
  <c r="X28" s="1"/>
  <c r="W29"/>
  <c r="X29" s="1"/>
  <c r="W30"/>
  <c r="X30" s="1"/>
  <c r="W35"/>
  <c r="X35" s="1"/>
  <c r="W42"/>
  <c r="X42" s="1"/>
  <c r="W31"/>
  <c r="X31" s="1"/>
  <c r="W32"/>
  <c r="X32" s="1"/>
  <c r="W33"/>
  <c r="X33" s="1"/>
  <c r="W34"/>
  <c r="X34" s="1"/>
  <c r="W44"/>
  <c r="X44" s="1"/>
  <c r="W40"/>
  <c r="X40" s="1"/>
  <c r="W43"/>
  <c r="X43" s="1"/>
  <c r="W36"/>
  <c r="X36" s="1"/>
  <c r="W37"/>
  <c r="X37" s="1"/>
  <c r="W41"/>
  <c r="X41" s="1"/>
  <c r="W45"/>
  <c r="X45" s="1"/>
  <c r="W38"/>
  <c r="X38" s="1"/>
  <c r="W39"/>
  <c r="X39" s="1"/>
  <c r="W59"/>
  <c r="X59" s="1"/>
  <c r="W49"/>
  <c r="X49" s="1"/>
  <c r="W46"/>
  <c r="X46" s="1"/>
  <c r="W47"/>
  <c r="X47" s="1"/>
  <c r="W58"/>
  <c r="X58" s="1"/>
  <c r="W50"/>
  <c r="X50" s="1"/>
  <c r="W48"/>
  <c r="X48" s="1"/>
  <c r="W51"/>
  <c r="X51" s="1"/>
  <c r="W52"/>
  <c r="X52" s="1"/>
  <c r="W53"/>
  <c r="X53" s="1"/>
  <c r="W54"/>
  <c r="X54" s="1"/>
  <c r="W56"/>
  <c r="X56" s="1"/>
  <c r="W55"/>
  <c r="X55" s="1"/>
  <c r="W57"/>
  <c r="X57" s="1"/>
  <c r="AI18"/>
  <c r="M4"/>
  <c r="M3"/>
  <c r="M2"/>
  <c r="AJ66" l="1"/>
  <c r="AJ65"/>
  <c r="AJ64"/>
  <c r="AJ68"/>
  <c r="AJ63"/>
  <c r="O4"/>
  <c r="W4" s="1"/>
  <c r="X4" s="1"/>
  <c r="O3"/>
  <c r="W3" s="1"/>
  <c r="X3" s="1"/>
  <c r="O2"/>
  <c r="W2" s="1"/>
  <c r="X2" s="1"/>
  <c r="AJ70" s="1"/>
  <c r="Y71" l="1"/>
  <c r="AJ71"/>
  <c r="AJ67"/>
  <c r="Y70"/>
  <c r="AJ61"/>
  <c r="Y61"/>
  <c r="Y60"/>
  <c r="Y63"/>
  <c r="Y62"/>
  <c r="Y64"/>
  <c r="Y68"/>
  <c r="Y65"/>
  <c r="Y69"/>
  <c r="AJ69"/>
  <c r="Y66"/>
  <c r="Y67"/>
  <c r="AJ58"/>
  <c r="AJ57"/>
  <c r="Y57"/>
  <c r="Y55"/>
  <c r="AJ54"/>
  <c r="AJ20"/>
  <c r="AJ30"/>
  <c r="AJ47"/>
  <c r="AJ59"/>
  <c r="AJ56"/>
  <c r="Y54"/>
  <c r="Y56"/>
  <c r="Y52"/>
  <c r="Y53"/>
  <c r="Y51"/>
  <c r="Y48"/>
  <c r="Y50"/>
  <c r="Y58"/>
  <c r="Y47"/>
  <c r="Y46"/>
  <c r="Y49"/>
  <c r="Y59"/>
  <c r="Y39"/>
  <c r="Y38"/>
  <c r="Y45"/>
  <c r="Y41"/>
  <c r="Y36"/>
  <c r="Y37"/>
  <c r="Y43"/>
  <c r="Y44"/>
  <c r="Y40"/>
  <c r="Y34"/>
  <c r="Y33"/>
  <c r="Y32"/>
  <c r="Y31"/>
  <c r="Y8"/>
  <c r="Y16"/>
  <c r="Y29"/>
  <c r="Y12"/>
  <c r="Y24"/>
  <c r="Y7"/>
  <c r="Y20"/>
  <c r="Y23"/>
  <c r="Y15"/>
  <c r="Y11"/>
  <c r="Y6"/>
  <c r="Y26"/>
  <c r="Y22"/>
  <c r="Y18"/>
  <c r="Y14"/>
  <c r="Y9"/>
  <c r="Y10"/>
  <c r="Y28"/>
  <c r="Y19"/>
  <c r="Y3"/>
  <c r="Y30"/>
  <c r="Y25"/>
  <c r="Y21"/>
  <c r="Y17"/>
  <c r="Y13"/>
  <c r="Y5"/>
  <c r="Y42"/>
  <c r="Y35"/>
  <c r="Y4"/>
  <c r="AB72"/>
  <c r="Y2" l="1"/>
  <c r="Z70" l="1"/>
  <c r="AA70" s="1"/>
  <c r="Z71"/>
  <c r="AA71" s="1"/>
  <c r="AE71" s="1"/>
  <c r="Z67"/>
  <c r="AA67" s="1"/>
  <c r="Z66"/>
  <c r="AA66" s="1"/>
  <c r="AE66" s="1"/>
  <c r="Z69"/>
  <c r="AA69" s="1"/>
  <c r="Z65"/>
  <c r="AA65" s="1"/>
  <c r="Z64"/>
  <c r="AA64" s="1"/>
  <c r="AE64" s="1"/>
  <c r="Z68"/>
  <c r="AA68" s="1"/>
  <c r="Z62"/>
  <c r="AA62" s="1"/>
  <c r="AD62" s="1"/>
  <c r="Z63"/>
  <c r="AA63" s="1"/>
  <c r="AE63" s="1"/>
  <c r="Z60"/>
  <c r="AA60" s="1"/>
  <c r="Z61"/>
  <c r="AA61" s="1"/>
  <c r="Z55"/>
  <c r="AA55" s="1"/>
  <c r="AE55" s="1"/>
  <c r="Z57"/>
  <c r="AA57" s="1"/>
  <c r="AE57" s="1"/>
  <c r="Z54"/>
  <c r="AA54" s="1"/>
  <c r="Z56"/>
  <c r="AA56" s="1"/>
  <c r="Z52"/>
  <c r="AA52" s="1"/>
  <c r="Z53"/>
  <c r="AA53" s="1"/>
  <c r="AE53" s="1"/>
  <c r="Z48"/>
  <c r="AA48" s="1"/>
  <c r="Z51"/>
  <c r="AA51" s="1"/>
  <c r="AE51" s="1"/>
  <c r="Z58"/>
  <c r="AA58" s="1"/>
  <c r="AE58" s="1"/>
  <c r="Z50"/>
  <c r="AA50" s="1"/>
  <c r="AD50" s="1"/>
  <c r="Z46"/>
  <c r="AA46" s="1"/>
  <c r="Z47"/>
  <c r="AA47" s="1"/>
  <c r="Z59"/>
  <c r="AA59" s="1"/>
  <c r="AE59" s="1"/>
  <c r="Z49"/>
  <c r="AA49" s="1"/>
  <c r="AD49" s="1"/>
  <c r="Z38"/>
  <c r="AA38" s="1"/>
  <c r="Z39"/>
  <c r="AA39" s="1"/>
  <c r="Z41"/>
  <c r="AA41" s="1"/>
  <c r="Z45"/>
  <c r="AA45" s="1"/>
  <c r="Z36"/>
  <c r="AA36" s="1"/>
  <c r="Z37"/>
  <c r="AA37" s="1"/>
  <c r="Z40"/>
  <c r="AA40" s="1"/>
  <c r="Z43"/>
  <c r="AA43" s="1"/>
  <c r="AE43" s="1"/>
  <c r="Z34"/>
  <c r="AA34" s="1"/>
  <c r="Z44"/>
  <c r="AA44" s="1"/>
  <c r="AE44" s="1"/>
  <c r="Z32"/>
  <c r="AA32" s="1"/>
  <c r="Z33"/>
  <c r="AA33" s="1"/>
  <c r="Z30"/>
  <c r="AA30" s="1"/>
  <c r="Z31"/>
  <c r="AA31" s="1"/>
  <c r="AE31" s="1"/>
  <c r="Z14"/>
  <c r="AA14" s="1"/>
  <c r="AE14" s="1"/>
  <c r="Z18"/>
  <c r="AA18" s="1"/>
  <c r="AE18" s="1"/>
  <c r="Z6"/>
  <c r="AA6" s="1"/>
  <c r="AE6" s="1"/>
  <c r="Z22"/>
  <c r="AA22" s="1"/>
  <c r="Z3"/>
  <c r="AA3" s="1"/>
  <c r="Z10"/>
  <c r="AA10" s="1"/>
  <c r="AE10" s="1"/>
  <c r="Z27"/>
  <c r="AA27" s="1"/>
  <c r="AE27" s="1"/>
  <c r="Z4"/>
  <c r="AA4" s="1"/>
  <c r="Z12"/>
  <c r="AA12" s="1"/>
  <c r="Z19"/>
  <c r="AA19" s="1"/>
  <c r="AE19" s="1"/>
  <c r="Z26"/>
  <c r="AA26" s="1"/>
  <c r="AE26" s="1"/>
  <c r="Z2"/>
  <c r="Z7"/>
  <c r="AA7" s="1"/>
  <c r="Z11"/>
  <c r="AA11" s="1"/>
  <c r="Z16"/>
  <c r="AA16" s="1"/>
  <c r="Z20"/>
  <c r="AA20" s="1"/>
  <c r="Z24"/>
  <c r="AA24" s="1"/>
  <c r="AE24" s="1"/>
  <c r="Z29"/>
  <c r="AA29" s="1"/>
  <c r="Z8"/>
  <c r="AA8" s="1"/>
  <c r="AE8" s="1"/>
  <c r="Z13"/>
  <c r="AA13" s="1"/>
  <c r="AE13" s="1"/>
  <c r="Z23"/>
  <c r="AA23" s="1"/>
  <c r="AE23" s="1"/>
  <c r="Z5"/>
  <c r="AA5" s="1"/>
  <c r="AE5" s="1"/>
  <c r="Z9"/>
  <c r="AA9" s="1"/>
  <c r="Z15"/>
  <c r="AA15" s="1"/>
  <c r="AE15" s="1"/>
  <c r="Z17"/>
  <c r="AA17" s="1"/>
  <c r="Z21"/>
  <c r="AA21" s="1"/>
  <c r="Z25"/>
  <c r="AA25" s="1"/>
  <c r="Z28"/>
  <c r="AA28" s="1"/>
  <c r="Z42"/>
  <c r="AA42" s="1"/>
  <c r="AE42" s="1"/>
  <c r="Z35"/>
  <c r="AA35" s="1"/>
  <c r="AE68" l="1"/>
  <c r="AD71"/>
  <c r="AF71" s="1"/>
  <c r="AD70"/>
  <c r="AE70"/>
  <c r="AF70"/>
  <c r="AE67"/>
  <c r="AD67"/>
  <c r="AF67" s="1"/>
  <c r="AD66"/>
  <c r="AF66" s="1"/>
  <c r="AE69"/>
  <c r="AE65"/>
  <c r="AD65"/>
  <c r="AF65" s="1"/>
  <c r="AG65" s="1"/>
  <c r="AD69"/>
  <c r="AF69" s="1"/>
  <c r="AD68"/>
  <c r="AF68" s="1"/>
  <c r="AD64"/>
  <c r="AF64" s="1"/>
  <c r="AG64" s="1"/>
  <c r="AD63"/>
  <c r="AF63" s="1"/>
  <c r="AE62"/>
  <c r="AF62" s="1"/>
  <c r="AD61"/>
  <c r="AF61" s="1"/>
  <c r="AG61" s="1"/>
  <c r="AE60"/>
  <c r="AF60" s="1"/>
  <c r="AG60" s="1"/>
  <c r="AE56"/>
  <c r="AD54"/>
  <c r="AD57"/>
  <c r="AF57" s="1"/>
  <c r="AD55"/>
  <c r="AF55" s="1"/>
  <c r="AD56"/>
  <c r="AF56" s="1"/>
  <c r="AE54"/>
  <c r="AF54" s="1"/>
  <c r="AG54" s="1"/>
  <c r="AE52"/>
  <c r="AD53"/>
  <c r="AF53" s="1"/>
  <c r="AG53" s="1"/>
  <c r="AD52"/>
  <c r="AF52" s="1"/>
  <c r="AG52" s="1"/>
  <c r="AD51"/>
  <c r="AF51" s="1"/>
  <c r="AD48"/>
  <c r="AF48" s="1"/>
  <c r="AG48" s="1"/>
  <c r="AE50"/>
  <c r="AF50" s="1"/>
  <c r="AD58"/>
  <c r="AF58" s="1"/>
  <c r="AD47"/>
  <c r="AF47" s="1"/>
  <c r="AG47" s="1"/>
  <c r="AE46"/>
  <c r="AF46" s="1"/>
  <c r="AG46" s="1"/>
  <c r="AE49"/>
  <c r="AF49" s="1"/>
  <c r="AD59"/>
  <c r="AF59" s="1"/>
  <c r="AE39"/>
  <c r="AF39" s="1"/>
  <c r="AG39" s="1"/>
  <c r="AD38"/>
  <c r="AF38" s="1"/>
  <c r="AG38" s="1"/>
  <c r="AE45"/>
  <c r="AD41"/>
  <c r="AD45"/>
  <c r="AF45" s="1"/>
  <c r="AE41"/>
  <c r="AD37"/>
  <c r="AF37" s="1"/>
  <c r="AG37" s="1"/>
  <c r="AE36"/>
  <c r="AF36" s="1"/>
  <c r="AG36" s="1"/>
  <c r="AA2"/>
  <c r="AE29"/>
  <c r="AF29" s="1"/>
  <c r="AG29" s="1"/>
  <c r="AE35"/>
  <c r="AE40"/>
  <c r="AE34"/>
  <c r="AF34" s="1"/>
  <c r="AG34" s="1"/>
  <c r="AD40"/>
  <c r="AD43"/>
  <c r="AF43" s="1"/>
  <c r="AD44"/>
  <c r="AF44" s="1"/>
  <c r="AD33"/>
  <c r="AF33" s="1"/>
  <c r="AG33" s="1"/>
  <c r="AD32"/>
  <c r="AF32" s="1"/>
  <c r="AG32" s="1"/>
  <c r="AD31"/>
  <c r="AF31" s="1"/>
  <c r="AD2"/>
  <c r="AF2" s="1"/>
  <c r="AG2" s="1"/>
  <c r="AD42"/>
  <c r="AF42" s="1"/>
  <c r="AD30"/>
  <c r="AF30" s="1"/>
  <c r="AG30" s="1"/>
  <c r="AD28"/>
  <c r="AF28" s="1"/>
  <c r="AG28" s="1"/>
  <c r="AD27"/>
  <c r="AF27" s="1"/>
  <c r="AD26"/>
  <c r="AF26" s="1"/>
  <c r="AD25"/>
  <c r="AF25" s="1"/>
  <c r="AG25" s="1"/>
  <c r="AD24"/>
  <c r="AF24" s="1"/>
  <c r="AD23"/>
  <c r="AF23" s="1"/>
  <c r="AD22"/>
  <c r="AF22" s="1"/>
  <c r="AG22" s="1"/>
  <c r="AD21"/>
  <c r="AF21" s="1"/>
  <c r="AG21" s="1"/>
  <c r="AD20"/>
  <c r="AF20" s="1"/>
  <c r="AG20" s="1"/>
  <c r="AD19"/>
  <c r="AF19" s="1"/>
  <c r="AD18"/>
  <c r="AF18" s="1"/>
  <c r="AD17"/>
  <c r="AF17" s="1"/>
  <c r="AG17" s="1"/>
  <c r="AD16"/>
  <c r="AF16" s="1"/>
  <c r="AG16" s="1"/>
  <c r="AD15"/>
  <c r="AF15" s="1"/>
  <c r="AD14"/>
  <c r="AF14" s="1"/>
  <c r="AD13"/>
  <c r="AF13" s="1"/>
  <c r="AD12"/>
  <c r="AF12" s="1"/>
  <c r="AG12" s="1"/>
  <c r="AD11"/>
  <c r="AF11" s="1"/>
  <c r="AG11" s="1"/>
  <c r="AD10"/>
  <c r="AF10" s="1"/>
  <c r="AD9"/>
  <c r="AF9" s="1"/>
  <c r="AG9" s="1"/>
  <c r="AD8"/>
  <c r="AF8" s="1"/>
  <c r="AD7"/>
  <c r="AF7" s="1"/>
  <c r="AG7" s="1"/>
  <c r="AD6"/>
  <c r="AF6" s="1"/>
  <c r="AD5"/>
  <c r="AF5" s="1"/>
  <c r="AD4"/>
  <c r="AF4" s="1"/>
  <c r="AG4" s="1"/>
  <c r="AD3"/>
  <c r="AF3" s="1"/>
  <c r="AG3" s="1"/>
  <c r="AD35"/>
  <c r="AI25"/>
  <c r="AF41" l="1"/>
  <c r="AF35"/>
  <c r="AF40"/>
  <c r="AG40" s="1"/>
  <c r="AI26"/>
  <c r="AH26"/>
  <c r="AH25"/>
  <c r="AI17"/>
  <c r="AI16"/>
  <c r="AI15"/>
  <c r="AG70" l="1"/>
  <c r="AG71"/>
  <c r="AG67"/>
  <c r="AG66"/>
  <c r="AG69"/>
  <c r="AG68"/>
  <c r="AG62"/>
  <c r="AG63"/>
  <c r="AG5"/>
  <c r="AG35"/>
  <c r="AG41"/>
  <c r="AG57"/>
  <c r="AG55"/>
  <c r="AG56"/>
  <c r="AG51"/>
  <c r="AG50"/>
  <c r="AG58"/>
  <c r="AG49"/>
  <c r="AG59"/>
  <c r="AG45"/>
  <c r="AG43"/>
  <c r="AG44"/>
  <c r="AG31"/>
  <c r="AG42"/>
  <c r="AG27"/>
  <c r="AG26"/>
  <c r="AG24"/>
  <c r="AG23"/>
  <c r="AG19"/>
  <c r="AG18"/>
  <c r="AG15"/>
  <c r="AG14"/>
  <c r="AG13"/>
  <c r="AG10"/>
  <c r="AG8"/>
  <c r="AG6"/>
  <c r="AH58"/>
  <c r="AI58"/>
  <c r="AH57"/>
  <c r="AI57"/>
  <c r="AH54"/>
  <c r="AI54"/>
  <c r="AH56"/>
  <c r="AI56"/>
  <c r="AH48"/>
  <c r="AI48"/>
  <c r="AH59"/>
  <c r="AI59"/>
  <c r="AH50"/>
  <c r="AI50"/>
  <c r="AH47"/>
  <c r="AI47"/>
  <c r="AH46"/>
  <c r="AI46"/>
  <c r="AH41"/>
  <c r="AI41"/>
  <c r="AH39"/>
  <c r="AI39"/>
  <c r="AH49"/>
  <c r="AI49"/>
  <c r="AH45"/>
  <c r="AI45"/>
  <c r="AH37"/>
  <c r="AI37"/>
  <c r="AH40"/>
  <c r="AI40"/>
  <c r="AI35"/>
  <c r="AH35"/>
  <c r="AH43"/>
  <c r="AI43"/>
  <c r="AH34"/>
  <c r="AI34"/>
  <c r="AH32"/>
  <c r="AI32"/>
  <c r="AG72"/>
  <c r="J72" s="1"/>
  <c r="AI30"/>
  <c r="AH30"/>
  <c r="AH20"/>
  <c r="AI20"/>
  <c r="AH70" l="1"/>
  <c r="AI70"/>
  <c r="AH71"/>
  <c r="AI71"/>
  <c r="AH67"/>
  <c r="AI67"/>
  <c r="AH66"/>
  <c r="AI66"/>
  <c r="AH65"/>
  <c r="AI65"/>
  <c r="AH69"/>
  <c r="AI69"/>
  <c r="AH68"/>
  <c r="AI68"/>
  <c r="AH64"/>
  <c r="AI64"/>
  <c r="AH63"/>
  <c r="AI63"/>
  <c r="AH61"/>
  <c r="AI6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<sst xmlns="http://schemas.openxmlformats.org/spreadsheetml/2006/main" count="386" uniqueCount="138">
  <si>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</si>
  <si>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</si>
  <si>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</si>
  <si>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</si>
  <si>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</si>
  <si>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</si>
  <si>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</si>
  <si>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</si>
  <si>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</si>
  <si>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</si>
  <si>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</si>
  <si>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</si>
  <si>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</si>
  <si>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</si>
  <si>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</si>
  <si>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</si>
  <si>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</si>
  <si>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</si>
  <si>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</si>
  <si>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</si>
  <si>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</si>
  <si>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</si>
  <si>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</si>
  <si>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</si>
  <si>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</si>
  <si>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</si>
  <si>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</si>
  <si>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</si>
  <si>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</si>
  <si>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</si>
  <si>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</si>
  <si>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</si>
  <si>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</si>
  <si>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</si>
  <si>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</si>
  <si>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</si>
  <si>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</si>
  <si>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</si>
  <si>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</si>
  <si>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</si>
  <si>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</si>
  <si>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</si>
  <si>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</si>
  <si>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</si>
  <si>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</si>
  <si>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</si>
  <si>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</si>
  <si>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LUCRO P/ OP</t>
  </si>
  <si>
    <t>IR DEVIDO</t>
  </si>
  <si>
    <t>U</t>
  </si>
  <si>
    <t>OGXPD17</t>
  </si>
  <si>
    <t>BVMFD12</t>
  </si>
  <si>
    <t>OGXPD16</t>
  </si>
  <si>
    <t>LUCRO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</si>
  <si>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</si>
  <si>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</si>
  <si>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</si>
  <si>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</si>
  <si>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</si>
  <si>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</si>
  <si>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</si>
  <si>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</si>
  <si>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</si>
  <si>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</si>
  <si>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</si>
  <si>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</si>
  <si>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</si>
  <si>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</si>
  <si>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</si>
  <si>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</si>
  <si>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</si>
  <si>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</si>
  <si>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</si>
  <si>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</si>
  <si>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</si>
  <si>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</si>
  <si>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</si>
  <si>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</si>
  <si>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</si>
  <si>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</si>
  <si>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</si>
  <si>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</si>
  <si>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</si>
  <si>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</si>
  <si>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</si>
  <si>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</si>
  <si>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</si>
  <si>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</si>
  <si>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</si>
  <si>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</si>
  <si>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</si>
  <si>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</si>
  <si>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</si>
  <si>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</si>
  <si>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</si>
  <si>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</si>
  <si>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</si>
  <si>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</si>
  <si>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</si>
  <si>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</si>
  <si>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</si>
  <si>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</si>
  <si>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</si>
  <si>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</si>
  <si>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</si>
  <si>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</si>
  <si>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</si>
  <si>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</si>
  <si>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</si>
  <si>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</si>
  <si>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</si>
  <si>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</si>
  <si>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</si>
  <si>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</si>
  <si>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</si>
  <si>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</si>
  <si>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VALEF38</t>
  </si>
  <si>
    <t>PETRG17</t>
  </si>
  <si>
    <t>PETRG18</t>
  </si>
  <si>
    <t>DEDUÇÃO [N]</t>
  </si>
  <si>
    <t>LUCRO [D]</t>
  </si>
  <si>
    <t>DEDUÇÃO [D]</t>
  </si>
  <si>
    <t>ACC [N]</t>
  </si>
  <si>
    <t>IRRF [N]</t>
  </si>
  <si>
    <t>IRRF [D]</t>
  </si>
  <si>
    <t>IR DEVIDO [N]</t>
  </si>
  <si>
    <t>IR DEVIDO [D]</t>
  </si>
  <si>
    <t>ACC [D]</t>
  </si>
  <si>
    <t>LUCRO TOTAL</t>
  </si>
  <si>
    <t>IRRF DT</t>
  </si>
  <si>
    <t>CORR</t>
  </si>
  <si>
    <t>AJUSTE</t>
  </si>
  <si>
    <t>PARCIAL</t>
  </si>
  <si>
    <t>VALEG41</t>
  </si>
  <si>
    <t>VALEG40</t>
  </si>
  <si>
    <t>VALEG42</t>
  </si>
  <si>
    <t>GORDURA</t>
  </si>
  <si>
    <t>PETRG20</t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</si>
</sst>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4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4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4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171" fontId="8" fillId="0" borderId="0" xfId="0" applyNumberFormat="1" applyFont="1" applyAlignment="1"/>
    <xf numFmtId="0" fontId="10" fillId="0" borderId="0" xfId="0" applyNumberFormat="1" applyFont="1" applyAlignment="1"/>
    <xf numFmtId="168" fontId="10" fillId="0" borderId="0" xfId="0" applyNumberFormat="1" applyFont="1" applyAlignment="1"/>
    <xf numFmtId="164" fontId="10" fillId="0" borderId="0" xfId="0" applyNumberFormat="1" applyFont="1" applyAlignment="1"/>
    <xf numFmtId="171" fontId="10" fillId="0" borderId="0" xfId="0" applyNumberFormat="1" applyFont="1" applyAlignment="1"/>
    <xf numFmtId="164" fontId="10" fillId="0" borderId="0" xfId="1" applyNumberFormat="1" applyFont="1" applyAlignment="1"/>
    <xf numFmtId="169" fontId="10" fillId="0" borderId="0" xfId="0" applyNumberFormat="1" applyFont="1" applyAlignment="1"/>
    <xf numFmtId="169" fontId="10" fillId="0" borderId="0" xfId="1" applyNumberFormat="1" applyFont="1" applyAlignment="1"/>
    <xf numFmtId="17" fontId="3" fillId="0" borderId="0" xfId="0" applyNumberFormat="1" applyFont="1"/>
    <xf numFmtId="164" fontId="3" fillId="0" borderId="0" xfId="1" applyFont="1" applyBorder="1"/>
    <xf numFmtId="0" fontId="3" fillId="0" borderId="0" xfId="0" applyNumberFormat="1" applyFont="1"/>
    <xf numFmtId="171" fontId="3" fillId="0" borderId="0" xfId="0" applyNumberFormat="1" applyFont="1" applyAlignment="1"/>
    <xf numFmtId="1" fontId="8" fillId="0" borderId="0" xfId="0" applyNumberFormat="1" applyFont="1" applyAlignment="1"/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/>
    <xf numFmtId="1" fontId="7" fillId="0" borderId="0" xfId="0" applyNumberFormat="1" applyFont="1" applyAlignment="1"/>
    <xf numFmtId="43" fontId="3" fillId="0" borderId="0" xfId="0" applyNumberFormat="1" applyFont="1"/>
    <xf numFmtId="164" fontId="3" fillId="0" borderId="0" xfId="1" applyNumberFormat="1" applyFont="1" applyBorder="1"/>
    <xf numFmtId="10" fontId="3" fillId="0" borderId="0" xfId="2" applyNumberFormat="1" applyFont="1" applyBorder="1"/>
    <xf numFmtId="170" fontId="3" fillId="0" borderId="0" xfId="2" applyNumberFormat="1" applyFont="1" applyBorder="1"/>
    <xf numFmtId="0" fontId="11" fillId="0" borderId="0" xfId="0" applyNumberFormat="1" applyFont="1"/>
    <xf numFmtId="0" fontId="11" fillId="0" borderId="0" xfId="0" applyNumberFormat="1" applyFont="1" applyAlignment="1"/>
    <xf numFmtId="168" fontId="11" fillId="0" borderId="0" xfId="0" applyNumberFormat="1" applyFont="1" applyAlignment="1"/>
    <xf numFmtId="164" fontId="11" fillId="0" borderId="0" xfId="0" applyNumberFormat="1" applyFont="1" applyAlignment="1"/>
    <xf numFmtId="171" fontId="11" fillId="0" borderId="0" xfId="0" applyNumberFormat="1" applyFont="1" applyAlignment="1"/>
    <xf numFmtId="164" fontId="11" fillId="0" borderId="0" xfId="1" applyNumberFormat="1" applyFont="1" applyAlignment="1"/>
    <xf numFmtId="169" fontId="11" fillId="0" borderId="0" xfId="0" applyNumberFormat="1" applyFont="1" applyAlignment="1"/>
    <xf numFmtId="169" fontId="11" fillId="0" borderId="0" xfId="1" applyNumberFormat="1" applyFont="1" applyAlignment="1"/>
    <xf numFmtId="0" fontId="9" fillId="0" borderId="2" xfId="0" applyNumberFormat="1" applyFont="1" applyBorder="1" applyAlignment="1"/>
    <xf numFmtId="0" fontId="12" fillId="0" borderId="2" xfId="0" applyNumberFormat="1" applyFont="1" applyBorder="1" applyAlignment="1"/>
    <xf numFmtId="168" fontId="12" fillId="0" borderId="2" xfId="0" applyNumberFormat="1" applyFont="1" applyBorder="1" applyAlignment="1"/>
    <xf numFmtId="164" fontId="12" fillId="0" borderId="2" xfId="0" applyNumberFormat="1" applyFont="1" applyBorder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1" fillId="0" borderId="0" xfId="0" applyNumberFormat="1" applyFont="1" applyAlignment="1"/>
    <xf numFmtId="164" fontId="11" fillId="0" borderId="0" xfId="1" applyFont="1" applyAlignment="1"/>
    <xf numFmtId="0" fontId="11" fillId="0" borderId="0" xfId="0" applyFont="1" applyAlignment="1"/>
    <xf numFmtId="164" fontId="13" fillId="0" borderId="0" xfId="0" applyNumberFormat="1" applyFont="1" applyAlignment="1"/>
    <xf numFmtId="0" fontId="11" fillId="0" borderId="0" xfId="0" applyFont="1" applyAlignment="1">
      <alignment vertical="top"/>
    </xf>
    <xf numFmtId="0" fontId="9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168" fontId="12" fillId="2" borderId="2" xfId="0" applyNumberFormat="1" applyFont="1" applyFill="1" applyBorder="1" applyAlignment="1"/>
    <xf numFmtId="164" fontId="12" fillId="2" borderId="2" xfId="0" applyNumberFormat="1" applyFont="1" applyFill="1" applyBorder="1" applyAlignment="1"/>
    <xf numFmtId="0" fontId="3" fillId="0" borderId="0" xfId="0" applyFont="1" applyBorder="1"/>
    <xf numFmtId="0" fontId="3" fillId="0" borderId="0" xfId="1" applyNumberFormat="1" applyFont="1" applyBorder="1"/>
  </cellXfs>
  <cellStyles count="3">
    <cellStyle name="Moeda" xfId="1" builtinId="4"/>
    <cellStyle name="Normal" xfId="0" builtinId="0"/>
    <cellStyle name="Porcentagem" xfId="2" builtinId="5"/>
  </cellStyles>
  <dxfs count="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NC" displayName="NC" ref="A1:AJ72" totalsRowCount="1" headerRowDxfId="271" dataDxfId="270" totalsRowDxfId="269">
  <autoFilter ref="A1:AJ71">
    <filterColumn colId="7"/>
    <filterColumn colId="8"/>
    <filterColumn colId="18"/>
    <filterColumn colId="35"/>
  </autoFilter>
  <sortState ref="A2:AJ69">
    <sortCondition ref="E1:E69"/>
  </sortState>
  <tableColumns count="36">
    <tableColumn id="19" name="ID" totalsRowFunction="max" dataDxfId="268" totalsRowDxfId="35"/>
    <tableColumn id="36" name="U" dataDxfId="267" totalsRowDxfId="34"/>
    <tableColumn id="2" name="ATIVO" dataDxfId="266" totalsRowDxfId="33"/>
    <tableColumn id="3" name="T" dataDxfId="265" totalsRowDxfId="32"/>
    <tableColumn id="4" name="DATA" dataDxfId="264" totalsRowDxfId="31"/>
    <tableColumn id="5" name="QTDE" dataDxfId="263" totalsRowDxfId="30"/>
    <tableColumn id="6" name="PREÇO" totalsRowFunction="custom" dataDxfId="262" totalsRowDxfId="29">
      <totalsRowFormula>NC[[#Totals],[ID]]*14.9</totalsRowFormula>
    </tableColumn>
    <tableColumn id="37" name="PARCIAL" dataDxfId="261" totalsRowDxfId="28"/>
    <tableColumn id="40" name="AJUSTE" dataDxfId="260" totalsRowDxfId="27" dataCellStyle="Moeda"/>
    <tableColumn id="7" name="[D/N]" totalsRowFunction="custom" dataDxfId="259" totalsRowDxfId="26">
      <totalsRowFormula>NC[[#Totals],[LUCRO P/ OP]]+NC[[#Totals],[PREÇO]]</totalsRowFormula>
    </tableColumn>
    <tableColumn id="34" name="DATA DE LIQUIDAÇÃO" dataDxfId="258" totalsRowDxfId="25">
      <calculatedColumnFormula>WORKDAY(NC[[#This Row],[DATA]],1,0)</calculatedColumnFormula>
    </tableColumn>
    <tableColumn id="31" name="DATA BASE" dataDxfId="257" totalsRowDxfId="24">
      <calculatedColumnFormula>EOMONTH(NC[[#This Row],[DATA DE LIQUIDAÇÃO]],0)</calculatedColumnFormula>
    </tableColumn>
    <tableColumn id="21" name="PAR" dataDxfId="256" totalsRowDxfId="23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55" totalsRowDxfId="22">
      <calculatedColumnFormula>[QTDE]*[PREÇO]</calculatedColumnFormula>
    </tableColumn>
    <tableColumn id="9" name="VALOR LÍQUIDO DAS OPERAÇÕES" dataDxfId="254" totalsRowDxfId="21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53" totalsRowDxfId="20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52" totalsRowDxfId="19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51" totalsRowDxfId="18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38" name="CORR" dataDxfId="250" totalsRowDxfId="17">
      <calculatedColumnFormula>SETUP!$E$3 * IF([PARCIAL] &gt; 0, [QTDE] / [PARCIAL], 1)</calculatedColumnFormula>
    </tableColumn>
    <tableColumn id="12" name="CORRETAGEM" dataDxfId="249" totalsRowDxfId="16">
      <calculatedColumnFormula>SUMPRODUCT(N([DATA]=NC[[#This Row],[DATA]]),N([ID]&lt;=NC[[#This Row],[ID]]), [CORR])</calculatedColumnFormula>
    </tableColumn>
    <tableColumn id="13" name="ISS" dataDxfId="248" totalsRowDxfId="15">
      <calculatedColumnFormula>TRUNC([CORRETAGEM]*SETUP!$F$3,2)</calculatedColumnFormula>
    </tableColumn>
    <tableColumn id="15" name="OUTRAS BOVESPA" dataDxfId="247" totalsRowDxfId="14">
      <calculatedColumnFormula>ROUND([CORRETAGEM]*SETUP!$G$3,2)</calculatedColumnFormula>
    </tableColumn>
    <tableColumn id="16" name="LÍQUIDO BASE" dataDxfId="246" totalsRowDxfId="13">
      <calculatedColumnFormula>[VALOR LÍQUIDO DAS OPERAÇÕES]-[TAXA DE LIQUIDAÇÃO]-[EMOLUMENTOS]-[TAXA DE REGISTRO]-[CORRETAGEM]-[ISS]-IF(['[D/N']]="D",    0,    [OUTRAS BOVESPA]) - [AJUSTE]</calculatedColumnFormula>
    </tableColumn>
    <tableColumn id="33" name="IRRF FONTE" dataDxfId="52" totalsRowDxfId="12">
      <calculatedColumnFormula>IF(AND(['[D/N']]="D",    [T]="CV",    [LÍQUIDO BASE] &gt; 0),    TRUNC([LÍQUIDO BASE]*0.01, 2),    0)</calculatedColumnFormula>
    </tableColumn>
    <tableColumn id="35" name="LÍQUIDO" dataDxfId="245" totalsRowDxfId="11">
      <calculatedColumnFormula>IF([PREÇO] &gt; 0,    [LÍQUIDO BASE]-SUMPRODUCT(N([DATA]=NC[[#This Row],[DATA]]),    [IRRF FONTE]),    0)</calculatedColumnFormula>
    </tableColumn>
    <tableColumn id="17" name="VALOR OP" dataDxfId="244" totalsRowDxfId="10" dataCellStyle="Moeda">
      <calculatedColumnFormula>[LÍQUIDO]-SUMPRODUCT(N([DATA]=NC[[#This Row],[DATA]]),N([ID]=(NC[[#This Row],[ID]]-1)),[LÍQUIDO])</calculatedColumnFormula>
    </tableColumn>
    <tableColumn id="18" name="MEDIO P/ OP" dataDxfId="243" totalsRowDxfId="9">
      <calculatedColumnFormula>IF([T] = "VC", ABS([VALOR OP]) / [QTDE], [VALOR OP]/[QTDE])</calculatedColumnFormula>
    </tableColumn>
    <tableColumn id="20" name="IRRF" totalsRowFunction="sum" dataDxfId="242" totalsRowDxfId="8">
      <calculatedColumnFormula>TRUNC(IF(OR([T]="CV",[T]="VV"),     N2*SETUP!$H$3,     0),2)</calculatedColumnFormula>
    </tableColumn>
    <tableColumn id="24" name="SALDO" dataDxfId="241" totalsRowDxfId="7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40" totalsRowDxfId="6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39" totalsRowDxfId="5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38" totalsRowDxfId="4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37" totalsRowDxfId="3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36" totalsRowDxfId="2">
      <calculatedColumnFormula>IF([U] = "U", SUMPRODUCT(N([ID]&lt;=NC[[#This Row],[ID]]),N([DATA BASE]=NC[[#This Row],[DATA BASE]]), N(['[D/N']] = "N"),    [LUCRO P/ OP]), 0)</calculatedColumnFormula>
    </tableColumn>
    <tableColumn id="39" name="LUCRO [D]" dataDxfId="235" totalsRowDxfId="1">
      <calculatedColumnFormula>IF([U] = "U", SUMPRODUCT(N([DATA BASE]=NC[[#This Row],[DATA BASE]]), N(['[D/N']] = "D"),    [LUCRO P/ OP]), 0)</calculatedColumnFormula>
    </tableColumn>
    <tableColumn id="30" name="IRRF DT" dataDxfId="234" totalsRowDxfId="0">
      <calculatedColumnFormula>IF([U] = "U", SUMPRODUCT(N([DATA BASE]=NC[[#This Row],[DATA BASE]]), N(['[D/N']] = "D"),    [IRRF FONTE]),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A1:N6" totalsRowCount="1" headerRowDxfId="233" dataDxfId="232">
  <autoFilter ref="A1:N5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</autoFilter>
  <tableColumns count="14">
    <tableColumn id="1" name="DATA" totalsRowLabel="Total" dataDxfId="231" totalsRowDxfId="230"/>
    <tableColumn id="2" name="LUCRO [N]" dataDxfId="229" totalsRowDxfId="228" dataCellStyle="Moeda"/>
    <tableColumn id="3" name="DEDUÇÃO [N]" dataDxfId="227" totalsRowDxfId="226" dataCellStyle="Moeda"/>
    <tableColumn id="8" name="IRRF [N]" dataDxfId="225" totalsRowDxfId="224" dataCellStyle="Moeda"/>
    <tableColumn id="4" name="LUCRO [D]" dataDxfId="223" totalsRowDxfId="222" dataCellStyle="Moeda"/>
    <tableColumn id="5" name="DEDUÇÃO [D]" dataDxfId="221" totalsRowDxfId="220" dataCellStyle="Moeda"/>
    <tableColumn id="9" name="IRRF [D]" dataDxfId="219" totalsRowDxfId="218" dataCellStyle="Moeda"/>
    <tableColumn id="6" name="ACC [N]" dataDxfId="217" totalsRowDxfId="216" dataCellStyle="Moeda">
      <calculatedColumnFormula>IF([LUCRO '[N']] + [DEDUÇÃO '[N']] &gt; 0, 0, [LUCRO '[N']] + [DEDUÇÃO '[N']])</calculatedColumnFormula>
    </tableColumn>
    <tableColumn id="12" name="ACC [D]" dataDxfId="215" totalsRowDxfId="214" dataCellStyle="Moeda">
      <calculatedColumnFormula>IF([LUCRO '[D']] + [DEDUÇÃO '[D']] &gt; 0, 0, [LUCRO '[D']] + [DEDUÇÃO '[D']])</calculatedColumnFormula>
    </tableColumn>
    <tableColumn id="7" name="IR DEVIDO [N]" dataDxfId="213" totalsRowDxfId="212" dataCellStyle="Moeda">
      <calculatedColumnFormula>IF([ACC '[N']] = 0, ROUND(([LUCRO '[N']] + [DEDUÇÃO '[N']]) * 15%, 2) - [IRRF '[N']], 0)</calculatedColumnFormula>
    </tableColumn>
    <tableColumn id="10" name="IR DEVIDO [D]" dataDxfId="211" totalsRowDxfId="210" dataCellStyle="Moeda">
      <calculatedColumnFormula>IF([ACC '[D']] = 0, ROUND(([LUCRO '[D']] + [DEDUÇÃO '[D']]) * 20%, 2) - [IRRF '[D']], 0)</calculatedColumnFormula>
    </tableColumn>
    <tableColumn id="14" name="IRRF" dataDxfId="209" totalsRowDxfId="208" dataCellStyle="Moeda">
      <calculatedColumnFormula>[IRRF '[N']] + [IRRF '[D']]</calculatedColumnFormula>
    </tableColumn>
    <tableColumn id="11" name="IR DEVIDO" dataDxfId="207" totalsRowDxfId="206" dataCellStyle="Moeda">
      <calculatedColumnFormula>[IR DEVIDO '[N']] + [IR DEVIDO '[D']]</calculatedColumnFormula>
    </tableColumn>
    <tableColumn id="13" name="LUCRO TOTAL" totalsRowFunction="sum" dataDxfId="205" totalsRowDxfId="204" dataCellStyle="Moeda">
      <calculatedColumnFormula>[LUCRO '[N']] + [LUCRO '[D']] - [IR DEVIDO] - [IRRF '[N']] - [IRRF '[D']]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1:K5" totalsRowCount="1" headerRowDxfId="203" dataDxfId="202">
  <autoFilter ref="A1:K4">
    <filterColumn colId="10"/>
  </autoFilter>
  <tableColumns count="11">
    <tableColumn id="1" name="PAPEL" totalsRowLabel="Total" dataDxfId="201" totalsRowDxfId="200"/>
    <tableColumn id="10" name="APLICAÇÃO" dataDxfId="199" totalsRowDxfId="198" dataCellStyle="Moeda"/>
    <tableColumn id="2" name="EXERCÍCIO" dataDxfId="197" totalsRowDxfId="196" dataCellStyle="Moeda"/>
    <tableColumn id="3" name="PREÇO OPÇÃO" dataDxfId="195" totalsRowDxfId="194" dataCellStyle="Moeda"/>
    <tableColumn id="4" name="PREÇO AÇÃO" dataDxfId="193" totalsRowDxfId="192" dataCellStyle="Moeda"/>
    <tableColumn id="11" name="QTDE TMP" dataDxfId="191" totalsRowDxfId="190" dataCellStyle="Moeda">
      <calculatedColumnFormula>ROUNDDOWN([APLICAÇÃO]/[PREÇO OPÇÃO], 0)</calculatedColumnFormula>
    </tableColumn>
    <tableColumn id="14" name="QTDE" dataDxfId="189" totalsRowDxfId="188" dataCellStyle="Moeda">
      <calculatedColumnFormula>[QTDE TMP] - MOD([QTDE TMP], 100)</calculatedColumnFormula>
    </tableColumn>
    <tableColumn id="5" name="TARGET 100%" dataDxfId="187" totalsRowDxfId="186" dataCellStyle="Moeda">
      <calculatedColumnFormula>[EXERCÍCIO] + ([PREÇO OPÇÃO] * 2)</calculatedColumnFormula>
    </tableColumn>
    <tableColumn id="6" name="ALTA 100%" dataDxfId="185" totalsRowDxfId="184" dataCellStyle="Porcentagem">
      <calculatedColumnFormula>[TARGET 100%] / [PREÇO AÇÃO] - 1</calculatedColumnFormula>
    </tableColumn>
    <tableColumn id="12" name="LUCRO* 100%" dataDxfId="183" totalsRowDxfId="182" dataCellStyle="Moeda">
      <calculatedColumnFormula>[PREÇO OPÇÃO] * [QTDE] - 30</calculatedColumnFormula>
    </tableColumn>
    <tableColumn id="7" name="GORDURA" dataDxfId="181" totalsRowDxfId="180">
      <calculatedColumnFormula>IF([PREÇO AÇÃO] &gt; [EXERCÍCIO], [PREÇO OPÇÃO] -([PREÇO AÇÃO] - [EXERCÍCIO]), [PREÇO OPÇÃO])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ela24" displayName="Tabela24" ref="A1:P5" totalsRowCount="1" headerRowDxfId="179" dataDxfId="178">
  <autoFilter ref="A1:P4"/>
  <tableColumns count="16">
    <tableColumn id="1" name="PAPEL" totalsRowLabel="Total" dataDxfId="177" totalsRowDxfId="51"/>
    <tableColumn id="10" name="RISCO" dataDxfId="176" totalsRowDxfId="50" dataCellStyle="Moeda"/>
    <tableColumn id="20" name="PREÇO AÇÃO" dataDxfId="175" totalsRowDxfId="49" dataCellStyle="Moeda"/>
    <tableColumn id="7" name="EXERC. VENDA" dataDxfId="174" totalsRowDxfId="48" dataCellStyle="Moeda"/>
    <tableColumn id="8" name="PREÇO VENDA" dataDxfId="173" totalsRowDxfId="47" dataCellStyle="Moeda"/>
    <tableColumn id="2" name="EXERC. COMPRA" dataDxfId="172" totalsRowDxfId="46" dataCellStyle="Moeda"/>
    <tableColumn id="3" name="PREÇO COMPRA" dataDxfId="171" totalsRowDxfId="45" dataCellStyle="Moeda"/>
    <tableColumn id="4" name="VOLUME" dataDxfId="170" totalsRowDxfId="44" dataCellStyle="Moeda">
      <calculatedColumnFormula>([QTDE] * [PREÇO COMPRA]) + ([QTDE] * [PREÇO VENDA])</calculatedColumnFormula>
    </tableColumn>
    <tableColumn id="18" name="LUCRO P/ OPÇÃO" dataDxfId="169" totalsRowDxfId="43" dataCellStyle="Moeda">
      <calculatedColumnFormula>[PREÇO VENDA]-[PREÇO COMPRA]</calculatedColumnFormula>
    </tableColumn>
    <tableColumn id="19" name="PERDA P/ OPÇÃO" dataDxfId="168" totalsRowDxfId="42" dataCellStyle="Moeda">
      <calculatedColumnFormula>(0.01 - [PREÇO COMPRA]) + ([PREÇO VENDA] - ([EXERC. COMPRA]-[EXERC. VENDA]+0.01))</calculatedColumnFormula>
    </tableColumn>
    <tableColumn id="11" name="QTDE TMP" dataDxfId="167" totalsRowDxfId="41" dataCellStyle="Moeda">
      <calculatedColumnFormula>ROUNDDOWN([RISCO]/ABS([PERDA P/ OPÇÃO]), 0)</calculatedColumnFormula>
    </tableColumn>
    <tableColumn id="14" name="QTDE" dataDxfId="166" totalsRowDxfId="40" dataCellStyle="Moeda">
      <calculatedColumnFormula>[QTDE TMP] - MOD([QTDE TMP], 100)</calculatedColumnFormula>
    </tableColumn>
    <tableColumn id="5" name="LUCRO*" dataDxfId="165" totalsRowDxfId="39" dataCellStyle="Moeda">
      <calculatedColumnFormula>([QTDE]*[LUCRO P/ OPÇÃO]) - 60</calculatedColumnFormula>
    </tableColumn>
    <tableColumn id="6" name="PERDA*" dataDxfId="164" totalsRowDxfId="38" dataCellStyle="Moeda">
      <calculatedColumnFormula>[QTDE]*[PERDA P/ OPÇÃO] - 60</calculatedColumnFormula>
    </tableColumn>
    <tableColumn id="21" name="% QUEDA" dataDxfId="163" totalsRowDxfId="37" dataCellStyle="Porcentagem">
      <calculatedColumnFormula>[EXERC. VENDA]/[PREÇO AÇÃO]-1</calculatedColumnFormula>
    </tableColumn>
    <tableColumn id="22" name="RISCO : 1" dataDxfId="162" totalsRowDxfId="3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ela245" displayName="Tabela245" ref="A1:V3" totalsRowCount="1" headerRowDxfId="161" dataDxfId="160">
  <autoFilter ref="A1:V2"/>
  <tableColumns count="22">
    <tableColumn id="1" name="PAPEL" totalsRowLabel="Total" dataDxfId="159" totalsRowDxfId="158"/>
    <tableColumn id="10" name="BASE" dataDxfId="157" totalsRowDxfId="156" dataCellStyle="Moeda"/>
    <tableColumn id="20" name="PR. AÇÃO" dataDxfId="155" totalsRowDxfId="154" dataCellStyle="Moeda"/>
    <tableColumn id="2" name="EX. CP 1" dataDxfId="153" totalsRowDxfId="152" dataCellStyle="Moeda"/>
    <tableColumn id="3" name="PR CP 1" dataDxfId="151" totalsRowDxfId="150" dataCellStyle="Moeda"/>
    <tableColumn id="12" name="EX. VD" dataDxfId="149" totalsRowDxfId="148" dataCellStyle="Moeda"/>
    <tableColumn id="13" name="PR VD" dataDxfId="147" totalsRowDxfId="146" dataCellStyle="Moeda"/>
    <tableColumn id="8" name="EX. CP 2" dataDxfId="145" totalsRowDxfId="144" dataCellStyle="Moeda"/>
    <tableColumn id="7" name="PR CP 2" dataDxfId="143" totalsRowDxfId="142" dataCellStyle="Moeda"/>
    <tableColumn id="18" name="LUCRO UNI." dataDxfId="141" totalsRowDxfId="140" dataCellStyle="Moeda">
      <calculatedColumnFormula>(([PR VD] - 0.01) * 2) + (([EX. VD] - [EX. CP 1] + 0.01) - [PR CP 1]) + (0.01 - [PR CP 2])</calculatedColumnFormula>
    </tableColumn>
    <tableColumn id="19" name="PERDA 1" dataDxfId="139" totalsRowDxfId="138" dataCellStyle="Moeda">
      <calculatedColumnFormula>(0.01 - [PR CP 1]) + (([PR VD] - 0.01) * 2) + (0.01 - [PR CP 2])</calculatedColumnFormula>
    </tableColumn>
    <tableColumn id="15" name="PERDA 2" dataDxfId="137" totalsRowDxfId="136" dataCellStyle="Moeda">
      <calculatedColumnFormula>(([EX. CP 2] - [EX. CP 1] + 0.01) - [PR CP 1]) + (([PR VD] - ([EX. CP 2] - [EX. VD] + 0.01)) * 2) + (0.01 - [PR CP 2])</calculatedColumnFormula>
    </tableColumn>
    <tableColumn id="16" name="PERDA" dataDxfId="135" totalsRowDxfId="134" dataCellStyle="Moeda">
      <calculatedColumnFormula>IF([PERDA 1] &gt; [PERDA 2], [PERDA 2], [PERDA 1])</calculatedColumnFormula>
    </tableColumn>
    <tableColumn id="11" name="QTDE TMP" dataDxfId="133" totalsRowDxfId="132" dataCellStyle="Moeda">
      <calculatedColumnFormula>ROUNDDOWN([BASE]/ABS([PERDA]), 0)</calculatedColumnFormula>
    </tableColumn>
    <tableColumn id="14" name="QTDE" dataDxfId="131" totalsRowDxfId="130" dataCellStyle="Moeda">
      <calculatedColumnFormula>[QTDE TMP] - MOD([QTDE TMP], 100)</calculatedColumnFormula>
    </tableColumn>
    <tableColumn id="4" name="QTDE VD" dataDxfId="129" totalsRowDxfId="128" dataCellStyle="Moeda">
      <calculatedColumnFormula>Tabela245[[#This Row],[QTDE]]*2</calculatedColumnFormula>
    </tableColumn>
    <tableColumn id="17" name="TOT.  CP" dataDxfId="127" totalsRowDxfId="126" dataCellStyle="Moeda">
      <calculatedColumnFormula>([QTDE]*[PR CP 1] + [QTDE]*[PR CP 2])</calculatedColumnFormula>
    </tableColumn>
    <tableColumn id="9" name="T. VD" dataDxfId="125" totalsRowDxfId="124" dataCellStyle="Moeda">
      <calculatedColumnFormula>[QTDE]*[PR VD] * 2</calculatedColumnFormula>
    </tableColumn>
    <tableColumn id="5" name="LUCRO*" dataDxfId="123" totalsRowDxfId="122" dataCellStyle="Moeda">
      <calculatedColumnFormula>([QTDE]*[LUCRO UNI.] - 90)</calculatedColumnFormula>
    </tableColumn>
    <tableColumn id="6" name="PERDA*" dataDxfId="121" totalsRowDxfId="120" dataCellStyle="Moeda">
      <calculatedColumnFormula>[QTDE]*[PERDA] - 90</calculatedColumnFormula>
    </tableColumn>
    <tableColumn id="21" name="% VAR" dataDxfId="119" totalsRowDxfId="118" dataCellStyle="Porcentagem">
      <calculatedColumnFormula>[EX. VD] / [PR. AÇÃO] - 1</calculatedColumnFormula>
    </tableColumn>
    <tableColumn id="22" name="RISCO : 1" dataDxfId="117" totalsRowDxfId="116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ela246" displayName="Tabela246" ref="A1:O6" totalsRowCount="1" headerRowDxfId="115" dataDxfId="114">
  <autoFilter ref="A1:O5"/>
  <tableColumns count="15">
    <tableColumn id="1" name="PAPEL" totalsRowLabel="Total" dataDxfId="113" totalsRowDxfId="112"/>
    <tableColumn id="10" name="RISCO" dataDxfId="111" totalsRowDxfId="110" dataCellStyle="Moeda"/>
    <tableColumn id="20" name="PREÇO AÇÃO" dataDxfId="109" totalsRowDxfId="108" dataCellStyle="Moeda"/>
    <tableColumn id="7" name="EX. VENDA" dataDxfId="107" totalsRowDxfId="106" dataCellStyle="Moeda"/>
    <tableColumn id="2" name="EX. COMPRA" dataDxfId="105" totalsRowDxfId="104" dataCellStyle="Moeda"/>
    <tableColumn id="3" name="PR COMPRA" dataDxfId="103" totalsRowDxfId="102" dataCellStyle="Moeda"/>
    <tableColumn id="16" name="QTDE" dataDxfId="101" totalsRowDxfId="100" dataCellStyle="Moeda"/>
    <tableColumn id="13" name="PERDA P/ OPÇÃO" dataDxfId="99" totalsRowDxfId="98" dataCellStyle="Moeda">
      <calculatedColumnFormula>-[RISCO]/[QTDE]</calculatedColumnFormula>
    </tableColumn>
    <tableColumn id="14" name="CUSTO CP" dataDxfId="97" totalsRowDxfId="96" dataCellStyle="Moeda">
      <calculatedColumnFormula>[PR COMPRA] * [QTDE]</calculatedColumnFormula>
    </tableColumn>
    <tableColumn id="15" name="LUCRO UNI" dataDxfId="95" totalsRowDxfId="94">
      <calculatedColumnFormula>[PR VENDA]-[PR COMPRA]</calculatedColumnFormula>
    </tableColumn>
    <tableColumn id="8" name="PR VENDA" dataDxfId="93" totalsRowDxfId="92" dataCellStyle="Moeda">
      <calculatedColumnFormula>[PERDA P/ OPÇÃO] + ([EX. COMPRA] - [EX. VENDA] + 0.01) - 0.01 + [PR COMPRA]</calculatedColumnFormula>
    </tableColumn>
    <tableColumn id="5" name="LUCRO*" dataDxfId="91" totalsRowDxfId="90" dataCellStyle="Moeda">
      <calculatedColumnFormula>([QTDE]*[LUCRO UNI])</calculatedColumnFormula>
    </tableColumn>
    <tableColumn id="6" name="PERDA*" dataDxfId="89" totalsRowDxfId="88" dataCellStyle="Moeda">
      <calculatedColumnFormula>[PERDA P/ OPÇÃO]*[QTDE]</calculatedColumnFormula>
    </tableColumn>
    <tableColumn id="21" name="% QUEDA" dataDxfId="87" totalsRowDxfId="86" dataCellStyle="Porcentagem">
      <calculatedColumnFormula>[EX. VENDA]/[PREÇO AÇÃO]-1</calculatedColumnFormula>
    </tableColumn>
    <tableColumn id="22" name="RISCO : 1" dataDxfId="85" totalsRowDxfId="84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467" displayName="Tabela2467" ref="A1:O6" totalsRowCount="1" headerRowDxfId="83" dataDxfId="82">
  <autoFilter ref="A1:O5"/>
  <tableColumns count="15">
    <tableColumn id="1" name="PAPEL" totalsRowLabel="Total" dataDxfId="81" totalsRowDxfId="80"/>
    <tableColumn id="10" name="RISCO" dataDxfId="79" totalsRowDxfId="78" dataCellStyle="Moeda"/>
    <tableColumn id="20" name="PREÇO AÇÃO" dataDxfId="77" totalsRowDxfId="76" dataCellStyle="Moeda"/>
    <tableColumn id="7" name="EX. VENDA" dataDxfId="75" totalsRowDxfId="74" dataCellStyle="Moeda"/>
    <tableColumn id="2" name="EX. COMPRA" dataDxfId="73" totalsRowDxfId="72" dataCellStyle="Moeda"/>
    <tableColumn id="9" name="PR VENDA" totalsRowDxfId="71"/>
    <tableColumn id="3" name="PR COMPRA" dataDxfId="70" totalsRowDxfId="69" dataCellStyle="Moeda"/>
    <tableColumn id="16" name="QTDE" dataDxfId="68" totalsRowDxfId="67" dataCellStyle="Moeda"/>
    <tableColumn id="13" name="PERDA P/ OPÇÃO" dataDxfId="66" totalsRowDxfId="65" dataCellStyle="Moeda">
      <calculatedColumnFormula>([PR VENDA] - ([EX. COMPRA] - [EX. VENDA] + 0.01)) + (0.01 - ([PR COMPRA]))</calculatedColumnFormula>
    </tableColumn>
    <tableColumn id="14" name="VOLUME" dataDxfId="64" totalsRowDxfId="63" dataCellStyle="Moeda">
      <calculatedColumnFormula>[PR COMPRA] * [QTDE]</calculatedColumnFormula>
    </tableColumn>
    <tableColumn id="15" name="LUCRO UNI" dataDxfId="62" totalsRowDxfId="61">
      <calculatedColumnFormula>[PR VENDA]-[PR COMPRA]</calculatedColumnFormula>
    </tableColumn>
    <tableColumn id="5" name="LUCRO*" dataDxfId="60" totalsRowDxfId="59" dataCellStyle="Moeda">
      <calculatedColumnFormula>([QTDE]*[LUCRO UNI])</calculatedColumnFormula>
    </tableColumn>
    <tableColumn id="6" name="PERDA*" dataDxfId="58" totalsRowDxfId="57" dataCellStyle="Moeda">
      <calculatedColumnFormula>[PERDA P/ OPÇÃO]*[QTDE]</calculatedColumnFormula>
    </tableColumn>
    <tableColumn id="21" name="% QUEDA" dataDxfId="56" totalsRowDxfId="55" dataCellStyle="Porcentagem">
      <calculatedColumnFormula>[EX. VENDA]/[PREÇO AÇÃO]-1</calculatedColumnFormula>
    </tableColumn>
    <tableColumn id="22" name="RISCO : 1" dataDxfId="54" totalsRowDxfId="53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J73"/>
  <sheetViews>
    <sheetView tabSelected="1" workbookViewId="0">
      <pane xSplit="10" ySplit="1" topLeftCell="K47" activePane="bottomRight" state="frozen"/>
      <selection pane="topRight" activeCell="K1" sqref="K1"/>
      <selection pane="bottomLeft" activeCell="A2" sqref="A2"/>
      <selection pane="bottomRight" activeCell="AH71" sqref="AH71:AI71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5" width="7.28515625" style="7" bestFit="1" customWidth="1"/>
    <col min="6" max="6" width="6.85546875" style="7" bestFit="1" customWidth="1"/>
    <col min="7" max="7" width="8.5703125" style="7" bestFit="1" customWidth="1"/>
    <col min="8" max="8" width="8.85546875" style="60" bestFit="1" customWidth="1"/>
    <col min="9" max="9" width="8.7109375" style="25" bestFit="1" customWidth="1"/>
    <col min="10" max="10" width="7" style="7" bestFit="1" customWidth="1"/>
    <col min="11" max="11" width="10.5703125" style="8" hidden="1" customWidth="1"/>
    <col min="12" max="12" width="6" style="7" hidden="1" customWidth="1"/>
    <col min="13" max="13" width="19" style="9" hidden="1" customWidth="1"/>
    <col min="14" max="14" width="25.28515625" style="7" hidden="1" customWidth="1"/>
    <col min="15" max="15" width="17.85546875" style="8" hidden="1" customWidth="1"/>
    <col min="16" max="16" width="13.7109375" style="8" hidden="1" customWidth="1"/>
    <col min="17" max="17" width="15.5703125" style="7" hidden="1" customWidth="1"/>
    <col min="18" max="18" width="7.7109375" style="7" hidden="1" customWidth="1"/>
    <col min="19" max="19" width="12.28515625" style="7" hidden="1" customWidth="1"/>
    <col min="20" max="20" width="15" style="7" hidden="1" customWidth="1"/>
    <col min="21" max="21" width="12.5703125" style="7" hidden="1" customWidth="1"/>
    <col min="22" max="22" width="10.42578125" style="7" hidden="1" customWidth="1"/>
    <col min="23" max="23" width="12.42578125" style="7" bestFit="1" customWidth="1"/>
    <col min="24" max="24" width="10.42578125" style="7" bestFit="1" customWidth="1"/>
    <col min="25" max="26" width="9.85546875" style="7" bestFit="1" customWidth="1"/>
    <col min="27" max="27" width="9.85546875" style="7" hidden="1" customWidth="1"/>
    <col min="28" max="28" width="11.140625" style="7" customWidth="1"/>
    <col min="29" max="29" width="8.5703125" style="7" hidden="1" customWidth="1"/>
    <col min="30" max="30" width="10.85546875" style="25" hidden="1" customWidth="1"/>
    <col min="31" max="31" width="11.7109375" style="7" hidden="1" customWidth="1"/>
    <col min="32" max="32" width="11.5703125" style="7" hidden="1" customWidth="1"/>
    <col min="33" max="33" width="11.5703125" style="7" bestFit="1" customWidth="1"/>
    <col min="34" max="35" width="10" style="7" bestFit="1" customWidth="1"/>
    <col min="36" max="36" width="8" style="7" bestFit="1" customWidth="1"/>
    <col min="37" max="16384" width="11.5703125" style="7"/>
  </cols>
  <sheetData>
    <row r="1" spans="1:36" s="10" customFormat="1">
      <c r="A1" s="10" t="s">
        <v>17</v>
      </c>
      <c r="B1" s="10" t="s">
        <v>49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77" t="s">
        <v>132</v>
      </c>
      <c r="I1" s="36" t="s">
        <v>131</v>
      </c>
      <c r="J1" s="10" t="s">
        <v>3</v>
      </c>
      <c r="K1" s="10" t="s">
        <v>39</v>
      </c>
      <c r="L1" s="10" t="s">
        <v>40</v>
      </c>
      <c r="M1" s="10" t="s">
        <v>21</v>
      </c>
      <c r="N1" s="10" t="s">
        <v>33</v>
      </c>
      <c r="O1" s="10" t="s">
        <v>34</v>
      </c>
      <c r="P1" s="11" t="s">
        <v>35</v>
      </c>
      <c r="Q1" s="10" t="s">
        <v>36</v>
      </c>
      <c r="R1" s="10" t="s">
        <v>37</v>
      </c>
      <c r="S1" s="10" t="s">
        <v>130</v>
      </c>
      <c r="T1" s="12" t="s">
        <v>9</v>
      </c>
      <c r="U1" s="10" t="s">
        <v>4</v>
      </c>
      <c r="V1" s="12" t="s">
        <v>38</v>
      </c>
      <c r="W1" s="10" t="s">
        <v>32</v>
      </c>
      <c r="X1" s="12" t="s">
        <v>44</v>
      </c>
      <c r="Y1" s="12" t="s">
        <v>5</v>
      </c>
      <c r="Z1" s="10" t="s">
        <v>103</v>
      </c>
      <c r="AA1" s="10" t="s">
        <v>41</v>
      </c>
      <c r="AB1" s="10" t="s">
        <v>18</v>
      </c>
      <c r="AC1" s="10" t="s">
        <v>22</v>
      </c>
      <c r="AD1" s="10" t="s">
        <v>19</v>
      </c>
      <c r="AE1" s="10" t="s">
        <v>20</v>
      </c>
      <c r="AF1" s="36" t="s">
        <v>68</v>
      </c>
      <c r="AG1" s="10" t="s">
        <v>47</v>
      </c>
      <c r="AH1" s="10" t="s">
        <v>53</v>
      </c>
      <c r="AI1" s="10" t="s">
        <v>120</v>
      </c>
      <c r="AJ1" s="10" t="s">
        <v>129</v>
      </c>
    </row>
    <row r="2" spans="1:36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78"/>
      <c r="I2" s="19"/>
      <c r="J2" s="13" t="s">
        <v>6</v>
      </c>
      <c r="K2" s="14">
        <f>WORKDAY(NC[[#This Row],[DATA]],1,0)</f>
        <v>40981</v>
      </c>
      <c r="L2" s="21">
        <f>EOMONTH(NC[[#This Row],[DATA DE LIQUIDAÇÃO]],0)</f>
        <v>40999</v>
      </c>
      <c r="M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" s="15">
        <f>[QTDE]*[PREÇO]</f>
        <v>168.00000000000003</v>
      </c>
      <c r="O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P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" s="15">
        <f>SETUP!$E$3 * IF([PARCIAL] &gt; 0, [QTDE] / [PARCIAL], 1)</f>
        <v>14.9</v>
      </c>
      <c r="T2" s="15">
        <f>SUMPRODUCT(N([DATA]=NC[[#This Row],[DATA]]),N([ID]&lt;=NC[[#This Row],[ID]]), [CORR])</f>
        <v>14.9</v>
      </c>
      <c r="U2" s="15">
        <f>TRUNC([CORRETAGEM]*SETUP!$F$3,2)</f>
        <v>0.28999999999999998</v>
      </c>
      <c r="V2" s="15">
        <f>ROUND([CORRETAGEM]*SETUP!$G$3,2)</f>
        <v>0.57999999999999996</v>
      </c>
      <c r="W2" s="15">
        <f>[VALOR LÍQUIDO DAS OPERAÇÕES]-[TAXA DE LIQUIDAÇÃO]-[EMOLUMENTOS]-[TAXA DE REGISTRO]-[CORRETAGEM]-[ISS]-IF(['[D/N']]="D",    0,    [OUTRAS BOVESPA]) - [AJUSTE]</f>
        <v>-183.98000000000005</v>
      </c>
      <c r="X2" s="15">
        <f>IF(AND(['[D/N']]="D",    [T]="CV",    [LÍQUIDO BASE] &gt; 0),    TRUNC([LÍQUIDO BASE]*0.01, 2),    0)</f>
        <v>0</v>
      </c>
      <c r="Y2" s="15">
        <f>IF([PREÇO] &gt; 0,    [LÍQUIDO BASE]-SUMPRODUCT(N([DATA]=NC[[#This Row],[DATA]]),    [IRRF FONTE]),    0)</f>
        <v>-183.98000000000005</v>
      </c>
      <c r="Z2" s="15">
        <f>[LÍQUIDO]-SUMPRODUCT(N([DATA]=NC[[#This Row],[DATA]]),N([ID]=(NC[[#This Row],[ID]]-1)),[LÍQUIDO])</f>
        <v>-183.98000000000005</v>
      </c>
      <c r="AA2" s="15">
        <f>IF([T] = "VC", ABS([VALOR OP]) / [QTDE], [VALOR OP]/[QTDE])</f>
        <v>-0.30663333333333342</v>
      </c>
      <c r="AB2" s="15">
        <f>TRUNC(IF(OR([T]="CV",[T]="VV"),     N2*SETUP!$H$3,     0),2)</f>
        <v>0</v>
      </c>
      <c r="AC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D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" s="15">
        <f>IF([LUCRO TMP] &lt;&gt; 0, [LUCRO TMP] - SUMPRODUCT(N([ATIVO]=NC[[#This Row],[ATIVO]]),N(['[D/N']]="N"),N([ID]&lt;NC[[#This Row],[ID]]),N([PAR]=NC[[#This Row],[PAR]]), [LUCRO TMP]), 0)</f>
        <v>0</v>
      </c>
      <c r="AH2" s="15">
        <f>IF([U] = "U", SUMPRODUCT(N([ID]&lt;=NC[[#This Row],[ID]]),N([DATA BASE]=NC[[#This Row],[DATA BASE]]), N(['[D/N']] = "N"),    [LUCRO P/ OP]), 0)</f>
        <v>0</v>
      </c>
      <c r="AI2" s="15">
        <f>IF([U] = "U", SUMPRODUCT(N([DATA BASE]=NC[[#This Row],[DATA BASE]]), N(['[D/N']] = "D"),    [LUCRO P/ OP]), 0)</f>
        <v>0</v>
      </c>
      <c r="AJ2" s="15">
        <f>IF([U] = "U", SUMPRODUCT(N([DATA BASE]=NC[[#This Row],[DATA BASE]]), N(['[D/N']] = "D"),    [IRRF FONTE]), 0)</f>
        <v>0</v>
      </c>
    </row>
    <row r="3" spans="1:36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78"/>
      <c r="I3" s="19"/>
      <c r="J3" s="13" t="s">
        <v>6</v>
      </c>
      <c r="K3" s="14">
        <f>WORKDAY(NC[[#This Row],[DATA]],1,0)</f>
        <v>40981</v>
      </c>
      <c r="L3" s="21">
        <f>EOMONTH(NC[[#This Row],[DATA DE LIQUIDAÇÃO]],0)</f>
        <v>40999</v>
      </c>
      <c r="M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" s="15">
        <f>[QTDE]*[PREÇO]</f>
        <v>160</v>
      </c>
      <c r="O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P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R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S3" s="15">
        <f>SETUP!$E$3 * IF([PARCIAL] &gt; 0, [QTDE] / [PARCIAL], 1)</f>
        <v>14.9</v>
      </c>
      <c r="T3" s="15">
        <f>SUMPRODUCT(N([DATA]=NC[[#This Row],[DATA]]),N([ID]&lt;=NC[[#This Row],[ID]]), [CORR])</f>
        <v>29.8</v>
      </c>
      <c r="U3" s="15">
        <f>TRUNC([CORRETAGEM]*SETUP!$F$3,2)</f>
        <v>0.59</v>
      </c>
      <c r="V3" s="15">
        <f>ROUND([CORRETAGEM]*SETUP!$G$3,2)</f>
        <v>1.1599999999999999</v>
      </c>
      <c r="W3" s="15">
        <f>[VALOR LÍQUIDO DAS OPERAÇÕES]-[TAXA DE LIQUIDAÇÃO]-[EMOLUMENTOS]-[TAXA DE REGISTRO]-[CORRETAGEM]-[ISS]-IF(['[D/N']]="D",    0,    [OUTRAS BOVESPA]) - [AJUSTE]</f>
        <v>-359.98</v>
      </c>
      <c r="X3" s="15">
        <f>IF(AND(['[D/N']]="D",    [T]="CV",    [LÍQUIDO BASE] &gt; 0),    TRUNC([LÍQUIDO BASE]*0.01, 2),    0)</f>
        <v>0</v>
      </c>
      <c r="Y3" s="15">
        <f>IF([PREÇO] &gt; 0,    [LÍQUIDO BASE]-SUMPRODUCT(N([DATA]=NC[[#This Row],[DATA]]),    [IRRF FONTE]),    0)</f>
        <v>-359.98</v>
      </c>
      <c r="Z3" s="15">
        <f>[LÍQUIDO]-SUMPRODUCT(N([DATA]=NC[[#This Row],[DATA]]),N([ID]=(NC[[#This Row],[ID]]-1)),[LÍQUIDO])</f>
        <v>-175.99999999999997</v>
      </c>
      <c r="AA3" s="15">
        <f>IF([T] = "VC", ABS([VALOR OP]) / [QTDE], [VALOR OP]/[QTDE])</f>
        <v>-0.43999999999999995</v>
      </c>
      <c r="AB3" s="15">
        <f>TRUNC(IF(OR([T]="CV",[T]="VV"),     N3*SETUP!$H$3,     0),2)</f>
        <v>0</v>
      </c>
      <c r="AC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" s="15">
        <f>IF([LUCRO TMP] &lt;&gt; 0, [LUCRO TMP] - SUMPRODUCT(N([ATIVO]=NC[[#This Row],[ATIVO]]),N(['[D/N']]="N"),N([ID]&lt;NC[[#This Row],[ID]]),N([PAR]=NC[[#This Row],[PAR]]), [LUCRO TMP]), 0)</f>
        <v>0</v>
      </c>
      <c r="AH3" s="15">
        <f>IF([U] = "U", SUMPRODUCT(N([ID]&lt;=NC[[#This Row],[ID]]),N([DATA BASE]=NC[[#This Row],[DATA BASE]]), N(['[D/N']] = "N"),    [LUCRO P/ OP]), 0)</f>
        <v>0</v>
      </c>
      <c r="AI3" s="15">
        <f>IF([U] = "U", SUMPRODUCT(N([DATA BASE]=NC[[#This Row],[DATA BASE]]), N(['[D/N']] = "D"),    [LUCRO P/ OP]), 0)</f>
        <v>0</v>
      </c>
      <c r="AJ3" s="15">
        <f>IF([U] = "U", SUMPRODUCT(N([DATA BASE]=NC[[#This Row],[DATA BASE]]), N(['[D/N']] = "D"),    [IRRF FONTE]), 0)</f>
        <v>0</v>
      </c>
    </row>
    <row r="4" spans="1:36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78"/>
      <c r="I4" s="19"/>
      <c r="J4" s="13" t="s">
        <v>14</v>
      </c>
      <c r="K4" s="14">
        <f>WORKDAY(NC[[#This Row],[DATA]],1,0)</f>
        <v>40982</v>
      </c>
      <c r="L4" s="21">
        <f>EOMONTH(NC[[#This Row],[DATA DE LIQUIDAÇÃO]],0)</f>
        <v>40999</v>
      </c>
      <c r="M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4" s="15">
        <f>[QTDE]*[PREÇO]</f>
        <v>228</v>
      </c>
      <c r="O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P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4" s="15">
        <f>SETUP!$E$3 * IF([PARCIAL] &gt; 0, [QTDE] / [PARCIAL], 1)</f>
        <v>14.9</v>
      </c>
      <c r="T4" s="15">
        <f>SUMPRODUCT(N([DATA]=NC[[#This Row],[DATA]]),N([ID]&lt;=NC[[#This Row],[ID]]), [CORR])</f>
        <v>14.9</v>
      </c>
      <c r="U4" s="15">
        <f>TRUNC([CORRETAGEM]*SETUP!$F$3,2)</f>
        <v>0.28999999999999998</v>
      </c>
      <c r="V4" s="15">
        <f>ROUND([CORRETAGEM]*SETUP!$G$3,2)</f>
        <v>0.57999999999999996</v>
      </c>
      <c r="W4" s="15">
        <f>[VALOR LÍQUIDO DAS OPERAÇÕES]-[TAXA DE LIQUIDAÇÃO]-[EMOLUMENTOS]-[TAXA DE REGISTRO]-[CORRETAGEM]-[ISS]-IF(['[D/N']]="D",    0,    [OUTRAS BOVESPA]) - [AJUSTE]</f>
        <v>-243.28</v>
      </c>
      <c r="X4" s="15">
        <f>IF(AND(['[D/N']]="D",    [T]="CV",    [LÍQUIDO BASE] &gt; 0),    TRUNC([LÍQUIDO BASE]*0.01, 2),    0)</f>
        <v>0</v>
      </c>
      <c r="Y4" s="15">
        <f>IF([PREÇO] &gt; 0,    [LÍQUIDO BASE]-SUMPRODUCT(N([DATA]=NC[[#This Row],[DATA]]),    [IRRF FONTE]),    0)</f>
        <v>-245.25</v>
      </c>
      <c r="Z4" s="15">
        <f>[LÍQUIDO]-SUMPRODUCT(N([DATA]=NC[[#This Row],[DATA]]),N([ID]=(NC[[#This Row],[ID]]-1)),[LÍQUIDO])</f>
        <v>-245.25</v>
      </c>
      <c r="AA4" s="15">
        <f>IF([T] = "VC", ABS([VALOR OP]) / [QTDE], [VALOR OP]/[QTDE])</f>
        <v>-0.204375</v>
      </c>
      <c r="AB4" s="15">
        <f>TRUNC(IF(OR([T]="CV",[T]="VV"),     N4*SETUP!$H$3,     0),2)</f>
        <v>0</v>
      </c>
      <c r="AC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" s="15">
        <f>IF([LUCRO TMP] &lt;&gt; 0, [LUCRO TMP] - SUMPRODUCT(N([ATIVO]=NC[[#This Row],[ATIVO]]),N(['[D/N']]="N"),N([ID]&lt;NC[[#This Row],[ID]]),N([PAR]=NC[[#This Row],[PAR]]), [LUCRO TMP]), 0)</f>
        <v>0</v>
      </c>
      <c r="AH4" s="15">
        <f>IF([U] = "U", SUMPRODUCT(N([ID]&lt;=NC[[#This Row],[ID]]),N([DATA BASE]=NC[[#This Row],[DATA BASE]]), N(['[D/N']] = "N"),    [LUCRO P/ OP]), 0)</f>
        <v>0</v>
      </c>
      <c r="AI4" s="15">
        <f>IF([U] = "U", SUMPRODUCT(N([DATA BASE]=NC[[#This Row],[DATA BASE]]), N(['[D/N']] = "D"),    [LUCRO P/ OP]), 0)</f>
        <v>0</v>
      </c>
      <c r="AJ4" s="15">
        <f>IF([U] = "U", SUMPRODUCT(N([DATA BASE]=NC[[#This Row],[DATA BASE]]), N(['[D/N']] = "D"),    [IRRF FONTE]), 0)</f>
        <v>0</v>
      </c>
    </row>
    <row r="5" spans="1:36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78"/>
      <c r="I5" s="19"/>
      <c r="J5" s="13" t="s">
        <v>14</v>
      </c>
      <c r="K5" s="14">
        <f>WORKDAY(NC[[#This Row],[DATA]],1,0)</f>
        <v>40982</v>
      </c>
      <c r="L5" s="21">
        <f>EOMONTH(NC[[#This Row],[DATA DE LIQUIDAÇÃO]],0)</f>
        <v>40999</v>
      </c>
      <c r="M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" s="15">
        <f>[QTDE]*[PREÇO]</f>
        <v>456</v>
      </c>
      <c r="O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P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R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S5" s="15">
        <f>SETUP!$E$3 * IF([PARCIAL] &gt; 0, [QTDE] / [PARCIAL], 1)</f>
        <v>14.9</v>
      </c>
      <c r="T5" s="15">
        <f>SUMPRODUCT(N([DATA]=NC[[#This Row],[DATA]]),N([ID]&lt;=NC[[#This Row],[ID]]), [CORR])</f>
        <v>29.8</v>
      </c>
      <c r="U5" s="15">
        <f>TRUNC([CORRETAGEM]*SETUP!$F$3,2)</f>
        <v>0.59</v>
      </c>
      <c r="V5" s="15">
        <f>ROUND([CORRETAGEM]*SETUP!$G$3,2)</f>
        <v>1.1599999999999999</v>
      </c>
      <c r="W5" s="15">
        <f>[VALOR LÍQUIDO DAS OPERAÇÕES]-[TAXA DE LIQUIDAÇÃO]-[EMOLUMENTOS]-[TAXA DE REGISTRO]-[CORRETAGEM]-[ISS]-IF(['[D/N']]="D",    0,    [OUTRAS BOVESPA]) - [AJUSTE]</f>
        <v>197.30999999999997</v>
      </c>
      <c r="X5" s="15">
        <f>IF(AND(['[D/N']]="D",    [T]="CV",    [LÍQUIDO BASE] &gt; 0),    TRUNC([LÍQUIDO BASE]*0.01, 2),    0)</f>
        <v>1.97</v>
      </c>
      <c r="Y5" s="15">
        <f>IF([PREÇO] &gt; 0,    [LÍQUIDO BASE]-SUMPRODUCT(N([DATA]=NC[[#This Row],[DATA]]),    [IRRF FONTE]),    0)</f>
        <v>195.33999999999997</v>
      </c>
      <c r="Z5" s="15">
        <f>[LÍQUIDO]-SUMPRODUCT(N([DATA]=NC[[#This Row],[DATA]]),N([ID]=(NC[[#This Row],[ID]]-1)),[LÍQUIDO])</f>
        <v>440.59</v>
      </c>
      <c r="AA5" s="15">
        <f>IF([T] = "VC", ABS([VALOR OP]) / [QTDE], [VALOR OP]/[QTDE])</f>
        <v>0.36715833333333331</v>
      </c>
      <c r="AB5" s="15">
        <f>TRUNC(IF(OR([T]="CV",[T]="VV"),     N5*SETUP!$H$3,     0),2)</f>
        <v>0.02</v>
      </c>
      <c r="AC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E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F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G5" s="15">
        <f>IF([LUCRO TMP] &lt;&gt; 0, [LUCRO TMP] - SUMPRODUCT(N([ATIVO]=NC[[#This Row],[ATIVO]]),N(['[D/N']]="N"),N([ID]&lt;NC[[#This Row],[ID]]),N([PAR]=NC[[#This Row],[PAR]]), [LUCRO TMP]), 0)</f>
        <v>197.30999999999997</v>
      </c>
      <c r="AH5" s="15">
        <f>IF([U] = "U", SUMPRODUCT(N([ID]&lt;=NC[[#This Row],[ID]]),N([DATA BASE]=NC[[#This Row],[DATA BASE]]), N(['[D/N']] = "N"),    [LUCRO P/ OP]), 0)</f>
        <v>0</v>
      </c>
      <c r="AI5" s="15">
        <f>IF([U] = "U", SUMPRODUCT(N([DATA BASE]=NC[[#This Row],[DATA BASE]]), N(['[D/N']] = "D"),    [LUCRO P/ OP]), 0)</f>
        <v>0</v>
      </c>
      <c r="AJ5" s="15">
        <f>IF([U] = "U", SUMPRODUCT(N([DATA BASE]=NC[[#This Row],[DATA BASE]]), N(['[D/N']] = "D"),    [IRRF FONTE]), 0)</f>
        <v>0</v>
      </c>
    </row>
    <row r="6" spans="1:36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78"/>
      <c r="I6" s="19"/>
      <c r="J6" s="13" t="s">
        <v>6</v>
      </c>
      <c r="K6" s="14">
        <f>WORKDAY(NC[[#This Row],[DATA]],1,0)</f>
        <v>40982</v>
      </c>
      <c r="L6" s="21">
        <f>EOMONTH(NC[[#This Row],[DATA DE LIQUIDAÇÃO]],0)</f>
        <v>40999</v>
      </c>
      <c r="M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" s="15">
        <f>[QTDE]*[PREÇO]</f>
        <v>320</v>
      </c>
      <c r="O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P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Q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R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S6" s="15">
        <f>SETUP!$E$3 * IF([PARCIAL] &gt; 0, [QTDE] / [PARCIAL], 1)</f>
        <v>14.9</v>
      </c>
      <c r="T6" s="15">
        <f>SUMPRODUCT(N([DATA]=NC[[#This Row],[DATA]]),N([ID]&lt;=NC[[#This Row],[ID]]), [CORR])</f>
        <v>44.7</v>
      </c>
      <c r="U6" s="15">
        <f>TRUNC([CORRETAGEM]*SETUP!$F$3,2)</f>
        <v>0.89</v>
      </c>
      <c r="V6" s="15">
        <f>ROUND([CORRETAGEM]*SETUP!$G$3,2)</f>
        <v>1.74</v>
      </c>
      <c r="W6" s="15">
        <f>[VALOR LÍQUIDO DAS OPERAÇÕES]-[TAXA DE LIQUIDAÇÃO]-[EMOLUMENTOS]-[TAXA DE REGISTRO]-[CORRETAGEM]-[ISS]-IF(['[D/N']]="D",    0,    [OUTRAS BOVESPA]) - [AJUSTE]</f>
        <v>499.93999999999988</v>
      </c>
      <c r="X6" s="15">
        <f>IF(AND(['[D/N']]="D",    [T]="CV",    [LÍQUIDO BASE] &gt; 0),    TRUNC([LÍQUIDO BASE]*0.01, 2),    0)</f>
        <v>0</v>
      </c>
      <c r="Y6" s="15">
        <f>IF([PREÇO] &gt; 0,    [LÍQUIDO BASE]-SUMPRODUCT(N([DATA]=NC[[#This Row],[DATA]]),    [IRRF FONTE]),    0)</f>
        <v>497.96999999999986</v>
      </c>
      <c r="Z6" s="15">
        <f>[LÍQUIDO]-SUMPRODUCT(N([DATA]=NC[[#This Row],[DATA]]),N([ID]=(NC[[#This Row],[ID]]-1)),[LÍQUIDO])</f>
        <v>302.62999999999988</v>
      </c>
      <c r="AA6" s="15">
        <f>IF([T] = "VC", ABS([VALOR OP]) / [QTDE], [VALOR OP]/[QTDE])</f>
        <v>0.75657499999999966</v>
      </c>
      <c r="AB6" s="15">
        <f>TRUNC(IF(OR([T]="CV",[T]="VV"),     N6*SETUP!$H$3,     0),2)</f>
        <v>0.01</v>
      </c>
      <c r="AC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E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F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G6" s="15">
        <f>IF([LUCRO TMP] &lt;&gt; 0, [LUCRO TMP] - SUMPRODUCT(N([ATIVO]=NC[[#This Row],[ATIVO]]),N(['[D/N']]="N"),N([ID]&lt;NC[[#This Row],[ID]]),N([PAR]=NC[[#This Row],[PAR]]), [LUCRO TMP]), 0)</f>
        <v>126.62999999999988</v>
      </c>
      <c r="AH6" s="15">
        <f>IF([U] = "U", SUMPRODUCT(N([ID]&lt;=NC[[#This Row],[ID]]),N([DATA BASE]=NC[[#This Row],[DATA BASE]]), N(['[D/N']] = "N"),    [LUCRO P/ OP]), 0)</f>
        <v>0</v>
      </c>
      <c r="AI6" s="15">
        <f>IF([U] = "U", SUMPRODUCT(N([DATA BASE]=NC[[#This Row],[DATA BASE]]), N(['[D/N']] = "D"),    [LUCRO P/ OP]), 0)</f>
        <v>0</v>
      </c>
      <c r="AJ6" s="15">
        <f>IF([U] = "U", SUMPRODUCT(N([DATA BASE]=NC[[#This Row],[DATA BASE]]), N(['[D/N']] = "D"),    [IRRF FONTE]), 0)</f>
        <v>0</v>
      </c>
    </row>
    <row r="7" spans="1:36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78"/>
      <c r="I7" s="19"/>
      <c r="J7" s="13" t="s">
        <v>6</v>
      </c>
      <c r="K7" s="14">
        <f>WORKDAY(NC[[#This Row],[DATA]],1,0)</f>
        <v>40982</v>
      </c>
      <c r="L7" s="21">
        <f>EOMONTH(NC[[#This Row],[DATA DE LIQUIDAÇÃO]],0)</f>
        <v>40999</v>
      </c>
      <c r="M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" s="15">
        <f>[QTDE]*[PREÇO]</f>
        <v>160</v>
      </c>
      <c r="O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P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R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S7" s="15">
        <f>SETUP!$E$3 * IF([PARCIAL] &gt; 0, [QTDE] / [PARCIAL], 1)</f>
        <v>14.9</v>
      </c>
      <c r="T7" s="15">
        <f>SUMPRODUCT(N([DATA]=NC[[#This Row],[DATA]]),N([ID]&lt;=NC[[#This Row],[ID]]), [CORR])</f>
        <v>59.6</v>
      </c>
      <c r="U7" s="15">
        <f>TRUNC([CORRETAGEM]*SETUP!$F$3,2)</f>
        <v>1.19</v>
      </c>
      <c r="V7" s="15">
        <f>ROUND([CORRETAGEM]*SETUP!$G$3,2)</f>
        <v>2.3199999999999998</v>
      </c>
      <c r="W7" s="15">
        <f>[VALOR LÍQUIDO DAS OPERAÇÕES]-[TAXA DE LIQUIDAÇÃO]-[EMOLUMENTOS]-[TAXA DE REGISTRO]-[CORRETAGEM]-[ISS]-IF(['[D/N']]="D",    0,    [OUTRAS BOVESPA]) - [AJUSTE]</f>
        <v>323.95999999999998</v>
      </c>
      <c r="X7" s="15">
        <f>IF(AND(['[D/N']]="D",    [T]="CV",    [LÍQUIDO BASE] &gt; 0),    TRUNC([LÍQUIDO BASE]*0.01, 2),    0)</f>
        <v>0</v>
      </c>
      <c r="Y7" s="15">
        <f>IF([PREÇO] &gt; 0,    [LÍQUIDO BASE]-SUMPRODUCT(N([DATA]=NC[[#This Row],[DATA]]),    [IRRF FONTE]),    0)</f>
        <v>321.98999999999995</v>
      </c>
      <c r="Z7" s="15">
        <f>[LÍQUIDO]-SUMPRODUCT(N([DATA]=NC[[#This Row],[DATA]]),N([ID]=(NC[[#This Row],[ID]]-1)),[LÍQUIDO])</f>
        <v>-175.9799999999999</v>
      </c>
      <c r="AA7" s="15">
        <f>IF([T] = "VC", ABS([VALOR OP]) / [QTDE], [VALOR OP]/[QTDE])</f>
        <v>-0.87989999999999957</v>
      </c>
      <c r="AB7" s="15">
        <f>TRUNC(IF(OR([T]="CV",[T]="VV"),     N7*SETUP!$H$3,     0),2)</f>
        <v>0</v>
      </c>
      <c r="AC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" s="15">
        <f>IF([LUCRO TMP] &lt;&gt; 0, [LUCRO TMP] - SUMPRODUCT(N([ATIVO]=NC[[#This Row],[ATIVO]]),N(['[D/N']]="N"),N([ID]&lt;NC[[#This Row],[ID]]),N([PAR]=NC[[#This Row],[PAR]]), [LUCRO TMP]), 0)</f>
        <v>0</v>
      </c>
      <c r="AH7" s="15">
        <f>IF([U] = "U", SUMPRODUCT(N([ID]&lt;=NC[[#This Row],[ID]]),N([DATA BASE]=NC[[#This Row],[DATA BASE]]), N(['[D/N']] = "N"),    [LUCRO P/ OP]), 0)</f>
        <v>0</v>
      </c>
      <c r="AI7" s="15">
        <f>IF([U] = "U", SUMPRODUCT(N([DATA BASE]=NC[[#This Row],[DATA BASE]]), N(['[D/N']] = "D"),    [LUCRO P/ OP]), 0)</f>
        <v>0</v>
      </c>
      <c r="AJ7" s="15">
        <f>IF([U] = "U", SUMPRODUCT(N([DATA BASE]=NC[[#This Row],[DATA BASE]]), N(['[D/N']] = "D"),    [IRRF FONTE]), 0)</f>
        <v>0</v>
      </c>
    </row>
    <row r="8" spans="1:36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78"/>
      <c r="I8" s="19"/>
      <c r="J8" s="13" t="s">
        <v>6</v>
      </c>
      <c r="K8" s="14">
        <f>WORKDAY(NC[[#This Row],[DATA]],1,0)</f>
        <v>40982</v>
      </c>
      <c r="L8" s="21">
        <f>EOMONTH(NC[[#This Row],[DATA DE LIQUIDAÇÃO]],0)</f>
        <v>40999</v>
      </c>
      <c r="M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8" s="15">
        <f>[QTDE]*[PREÇO]</f>
        <v>336.00000000000006</v>
      </c>
      <c r="O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P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R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S8" s="15">
        <f>SETUP!$E$3 * IF([PARCIAL] &gt; 0, [QTDE] / [PARCIAL], 1)</f>
        <v>14.9</v>
      </c>
      <c r="T8" s="15">
        <f>SUMPRODUCT(N([DATA]=NC[[#This Row],[DATA]]),N([ID]&lt;=NC[[#This Row],[ID]]), [CORR])</f>
        <v>74.5</v>
      </c>
      <c r="U8" s="15">
        <f>TRUNC([CORRETAGEM]*SETUP!$F$3,2)</f>
        <v>1.49</v>
      </c>
      <c r="V8" s="15">
        <f>ROUND([CORRETAGEM]*SETUP!$G$3,2)</f>
        <v>2.91</v>
      </c>
      <c r="W8" s="15">
        <f>[VALOR LÍQUIDO DAS OPERAÇÕES]-[TAXA DE LIQUIDAÇÃO]-[EMOLUMENTOS]-[TAXA DE REGISTRO]-[CORRETAGEM]-[ISS]-IF(['[D/N']]="D",    0,    [OUTRAS BOVESPA]) - [AJUSTE]</f>
        <v>643.72</v>
      </c>
      <c r="X8" s="15">
        <f>IF(AND(['[D/N']]="D",    [T]="CV",    [LÍQUIDO BASE] &gt; 0),    TRUNC([LÍQUIDO BASE]*0.01, 2),    0)</f>
        <v>0</v>
      </c>
      <c r="Y8" s="15">
        <f>IF([PREÇO] &gt; 0,    [LÍQUIDO BASE]-SUMPRODUCT(N([DATA]=NC[[#This Row],[DATA]]),    [IRRF FONTE]),    0)</f>
        <v>641.75</v>
      </c>
      <c r="Z8" s="15">
        <f>[LÍQUIDO]-SUMPRODUCT(N([DATA]=NC[[#This Row],[DATA]]),N([ID]=(NC[[#This Row],[ID]]-1)),[LÍQUIDO])</f>
        <v>319.76000000000005</v>
      </c>
      <c r="AA8" s="15">
        <f>IF([T] = "VC", ABS([VALOR OP]) / [QTDE], [VALOR OP]/[QTDE])</f>
        <v>0.53293333333333337</v>
      </c>
      <c r="AB8" s="15">
        <f>TRUNC(IF(OR([T]="CV",[T]="VV"),     N8*SETUP!$H$3,     0),2)</f>
        <v>0.01</v>
      </c>
      <c r="AC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E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F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G8" s="15">
        <f>IF([LUCRO TMP] &lt;&gt; 0, [LUCRO TMP] - SUMPRODUCT(N([ATIVO]=NC[[#This Row],[ATIVO]]),N(['[D/N']]="N"),N([ID]&lt;NC[[#This Row],[ID]]),N([PAR]=NC[[#This Row],[PAR]]), [LUCRO TMP]), 0)</f>
        <v>135.77999999999997</v>
      </c>
      <c r="AH8" s="15">
        <f>IF([U] = "U", SUMPRODUCT(N([ID]&lt;=NC[[#This Row],[ID]]),N([DATA BASE]=NC[[#This Row],[DATA BASE]]), N(['[D/N']] = "N"),    [LUCRO P/ OP]), 0)</f>
        <v>0</v>
      </c>
      <c r="AI8" s="15">
        <f>IF([U] = "U", SUMPRODUCT(N([DATA BASE]=NC[[#This Row],[DATA BASE]]), N(['[D/N']] = "D"),    [LUCRO P/ OP]), 0)</f>
        <v>0</v>
      </c>
      <c r="AJ8" s="15">
        <f>IF([U] = "U", SUMPRODUCT(N([DATA BASE]=NC[[#This Row],[DATA BASE]]), N(['[D/N']] = "D"),    [IRRF FONTE]), 0)</f>
        <v>0</v>
      </c>
    </row>
    <row r="9" spans="1:36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78"/>
      <c r="I9" s="19"/>
      <c r="J9" s="13" t="s">
        <v>14</v>
      </c>
      <c r="K9" s="14">
        <f>WORKDAY(NC[[#This Row],[DATA]],1,0)</f>
        <v>40983</v>
      </c>
      <c r="L9" s="22">
        <f>EOMONTH(NC[[#This Row],[DATA DE LIQUIDAÇÃO]],0)</f>
        <v>40999</v>
      </c>
      <c r="M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9" s="15">
        <f>[QTDE]*[PREÇO]</f>
        <v>312</v>
      </c>
      <c r="O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P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9" s="15">
        <f>SETUP!$E$3 * IF([PARCIAL] &gt; 0, [QTDE] / [PARCIAL], 1)</f>
        <v>14.9</v>
      </c>
      <c r="T9" s="15">
        <f>SUMPRODUCT(N([DATA]=NC[[#This Row],[DATA]]),N([ID]&lt;=NC[[#This Row],[ID]]), [CORR])</f>
        <v>14.9</v>
      </c>
      <c r="U9" s="15">
        <f>TRUNC([CORRETAGEM]*SETUP!$F$3,2)</f>
        <v>0.28999999999999998</v>
      </c>
      <c r="V9" s="15">
        <f>ROUND([CORRETAGEM]*SETUP!$G$3,2)</f>
        <v>0.57999999999999996</v>
      </c>
      <c r="W9" s="15">
        <f>[VALOR LÍQUIDO DAS OPERAÇÕES]-[TAXA DE LIQUIDAÇÃO]-[EMOLUMENTOS]-[TAXA DE REGISTRO]-[CORRETAGEM]-[ISS]-IF(['[D/N']]="D",    0,    [OUTRAS BOVESPA]) - [AJUSTE]</f>
        <v>-327.31</v>
      </c>
      <c r="X9" s="15">
        <f>IF(AND(['[D/N']]="D",    [T]="CV",    [LÍQUIDO BASE] &gt; 0),    TRUNC([LÍQUIDO BASE]*0.01, 2),    0)</f>
        <v>0</v>
      </c>
      <c r="Y9" s="15">
        <f>IF([PREÇO] &gt; 0,    [LÍQUIDO BASE]-SUMPRODUCT(N([DATA]=NC[[#This Row],[DATA]]),    [IRRF FONTE]),    0)</f>
        <v>-330.12</v>
      </c>
      <c r="Z9" s="15">
        <f>[LÍQUIDO]-SUMPRODUCT(N([DATA]=NC[[#This Row],[DATA]]),N([ID]=(NC[[#This Row],[ID]]-1)),[LÍQUIDO])</f>
        <v>-330.12</v>
      </c>
      <c r="AA9" s="15">
        <f>IF([T] = "VC", ABS([VALOR OP]) / [QTDE], [VALOR OP]/[QTDE])</f>
        <v>-0.13755000000000001</v>
      </c>
      <c r="AB9" s="15">
        <f>TRUNC(IF(OR([T]="CV",[T]="VV"),     N9*SETUP!$H$3,     0),2)</f>
        <v>0</v>
      </c>
      <c r="AC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9" s="15">
        <f>IF([LUCRO TMP] &lt;&gt; 0, [LUCRO TMP] - SUMPRODUCT(N([ATIVO]=NC[[#This Row],[ATIVO]]),N(['[D/N']]="N"),N([ID]&lt;NC[[#This Row],[ID]]),N([PAR]=NC[[#This Row],[PAR]]), [LUCRO TMP]), 0)</f>
        <v>0</v>
      </c>
      <c r="AH9" s="15">
        <f>IF([U] = "U", SUMPRODUCT(N([ID]&lt;=NC[[#This Row],[ID]]),N([DATA BASE]=NC[[#This Row],[DATA BASE]]), N(['[D/N']] = "N"),    [LUCRO P/ OP]), 0)</f>
        <v>0</v>
      </c>
      <c r="AI9" s="15">
        <f>IF([U] = "U", SUMPRODUCT(N([DATA BASE]=NC[[#This Row],[DATA BASE]]), N(['[D/N']] = "D"),    [LUCRO P/ OP]), 0)</f>
        <v>0</v>
      </c>
      <c r="AJ9" s="15">
        <f>IF([U] = "U", SUMPRODUCT(N([DATA BASE]=NC[[#This Row],[DATA BASE]]), N(['[D/N']] = "D"),    [IRRF FONTE]), 0)</f>
        <v>0</v>
      </c>
    </row>
    <row r="10" spans="1:36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78"/>
      <c r="I10" s="19"/>
      <c r="J10" s="13" t="s">
        <v>14</v>
      </c>
      <c r="K10" s="14">
        <f>WORKDAY(NC[[#This Row],[DATA]],1,0)</f>
        <v>40983</v>
      </c>
      <c r="L10" s="22">
        <f>EOMONTH(NC[[#This Row],[DATA DE LIQUIDAÇÃO]],0)</f>
        <v>40999</v>
      </c>
      <c r="M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10" s="15">
        <f>[QTDE]*[PREÇO]</f>
        <v>624</v>
      </c>
      <c r="O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P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10" s="15">
        <f>SETUP!$E$3 * IF([PARCIAL] &gt; 0, [QTDE] / [PARCIAL], 1)</f>
        <v>14.9</v>
      </c>
      <c r="T10" s="15">
        <f>SUMPRODUCT(N([DATA]=NC[[#This Row],[DATA]]),N([ID]&lt;=NC[[#This Row],[ID]]), [CORR])</f>
        <v>29.8</v>
      </c>
      <c r="U10" s="15">
        <f>TRUNC([CORRETAGEM]*SETUP!$F$3,2)</f>
        <v>0.59</v>
      </c>
      <c r="V10" s="15">
        <f>ROUND([CORRETAGEM]*SETUP!$G$3,2)</f>
        <v>1.1599999999999999</v>
      </c>
      <c r="W10" s="15">
        <f>[VALOR LÍQUIDO DAS OPERAÇÕES]-[TAXA DE LIQUIDAÇÃO]-[EMOLUMENTOS]-[TAXA DE REGISTRO]-[CORRETAGEM]-[ISS]-IF(['[D/N']]="D",    0,    [OUTRAS BOVESPA]) - [AJUSTE]</f>
        <v>281.2</v>
      </c>
      <c r="X10" s="15">
        <f>IF(AND(['[D/N']]="D",    [T]="CV",    [LÍQUIDO BASE] &gt; 0),    TRUNC([LÍQUIDO BASE]*0.01, 2),    0)</f>
        <v>2.81</v>
      </c>
      <c r="Y10" s="15">
        <f>IF([PREÇO] &gt; 0,    [LÍQUIDO BASE]-SUMPRODUCT(N([DATA]=NC[[#This Row],[DATA]]),    [IRRF FONTE]),    0)</f>
        <v>278.39</v>
      </c>
      <c r="Z10" s="15">
        <f>[LÍQUIDO]-SUMPRODUCT(N([DATA]=NC[[#This Row],[DATA]]),N([ID]=(NC[[#This Row],[ID]]-1)),[LÍQUIDO])</f>
        <v>608.51</v>
      </c>
      <c r="AA10" s="15">
        <f>IF([T] = "VC", ABS([VALOR OP]) / [QTDE], [VALOR OP]/[QTDE])</f>
        <v>0.2535458333333333</v>
      </c>
      <c r="AB10" s="15">
        <f>TRUNC(IF(OR([T]="CV",[T]="VV"),     N10*SETUP!$H$3,     0),2)</f>
        <v>0.03</v>
      </c>
      <c r="AC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E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F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G10" s="15">
        <f>IF([LUCRO TMP] &lt;&gt; 0, [LUCRO TMP] - SUMPRODUCT(N([ATIVO]=NC[[#This Row],[ATIVO]]),N(['[D/N']]="N"),N([ID]&lt;NC[[#This Row],[ID]]),N([PAR]=NC[[#This Row],[PAR]]), [LUCRO TMP]), 0)</f>
        <v>281.19999999999993</v>
      </c>
      <c r="AH10" s="15">
        <f>IF([U] = "U", SUMPRODUCT(N([ID]&lt;=NC[[#This Row],[ID]]),N([DATA BASE]=NC[[#This Row],[DATA BASE]]), N(['[D/N']] = "N"),    [LUCRO P/ OP]), 0)</f>
        <v>0</v>
      </c>
      <c r="AI10" s="15">
        <f>IF([U] = "U", SUMPRODUCT(N([DATA BASE]=NC[[#This Row],[DATA BASE]]), N(['[D/N']] = "D"),    [LUCRO P/ OP]), 0)</f>
        <v>0</v>
      </c>
      <c r="AJ10" s="15">
        <f>IF([U] = "U", SUMPRODUCT(N([DATA BASE]=NC[[#This Row],[DATA BASE]]), N(['[D/N']] = "D"),    [IRRF FONTE]), 0)</f>
        <v>0</v>
      </c>
    </row>
    <row r="11" spans="1:36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78"/>
      <c r="I11" s="19"/>
      <c r="J11" s="13" t="s">
        <v>6</v>
      </c>
      <c r="K11" s="14">
        <f>WORKDAY(NC[[#This Row],[DATA]],1,0)</f>
        <v>40983</v>
      </c>
      <c r="L11" s="22">
        <f>EOMONTH(NC[[#This Row],[DATA DE LIQUIDAÇÃO]],0)</f>
        <v>40999</v>
      </c>
      <c r="M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1" s="15">
        <f>[QTDE]*[PREÇO]</f>
        <v>312</v>
      </c>
      <c r="O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R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S11" s="15">
        <f>SETUP!$E$3 * IF([PARCIAL] &gt; 0, [QTDE] / [PARCIAL], 1)</f>
        <v>14.9</v>
      </c>
      <c r="T11" s="15">
        <f>SUMPRODUCT(N([DATA]=NC[[#This Row],[DATA]]),N([ID]&lt;=NC[[#This Row],[ID]]), [CORR])</f>
        <v>44.7</v>
      </c>
      <c r="U11" s="15">
        <f>TRUNC([CORRETAGEM]*SETUP!$F$3,2)</f>
        <v>0.89</v>
      </c>
      <c r="V11" s="15">
        <f>ROUND([CORRETAGEM]*SETUP!$G$3,2)</f>
        <v>1.74</v>
      </c>
      <c r="W11" s="15">
        <f>[VALOR LÍQUIDO DAS OPERAÇÕES]-[TAXA DE LIQUIDAÇÃO]-[EMOLUMENTOS]-[TAXA DE REGISTRO]-[CORRETAGEM]-[ISS]-IF(['[D/N']]="D",    0,    [OUTRAS BOVESPA]) - [AJUSTE]</f>
        <v>-48.150000000000006</v>
      </c>
      <c r="X11" s="15">
        <f>IF(AND(['[D/N']]="D",    [T]="CV",    [LÍQUIDO BASE] &gt; 0),    TRUNC([LÍQUIDO BASE]*0.01, 2),    0)</f>
        <v>0</v>
      </c>
      <c r="Y11" s="15">
        <f>IF([PREÇO] &gt; 0,    [LÍQUIDO BASE]-SUMPRODUCT(N([DATA]=NC[[#This Row],[DATA]]),    [IRRF FONTE]),    0)</f>
        <v>-50.960000000000008</v>
      </c>
      <c r="Z11" s="15">
        <f>[LÍQUIDO]-SUMPRODUCT(N([DATA]=NC[[#This Row],[DATA]]),N([ID]=(NC[[#This Row],[ID]]-1)),[LÍQUIDO])</f>
        <v>-329.35</v>
      </c>
      <c r="AA11" s="15">
        <f>IF([T] = "VC", ABS([VALOR OP]) / [QTDE], [VALOR OP]/[QTDE])</f>
        <v>-0.41168750000000004</v>
      </c>
      <c r="AB11" s="15">
        <f>TRUNC(IF(OR([T]="CV",[T]="VV"),     N11*SETUP!$H$3,     0),2)</f>
        <v>0</v>
      </c>
      <c r="AC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1" s="15">
        <f>IF([LUCRO TMP] &lt;&gt; 0, [LUCRO TMP] - SUMPRODUCT(N([ATIVO]=NC[[#This Row],[ATIVO]]),N(['[D/N']]="N"),N([ID]&lt;NC[[#This Row],[ID]]),N([PAR]=NC[[#This Row],[PAR]]), [LUCRO TMP]), 0)</f>
        <v>0</v>
      </c>
      <c r="AH11" s="15">
        <f>IF([U] = "U", SUMPRODUCT(N([ID]&lt;=NC[[#This Row],[ID]]),N([DATA BASE]=NC[[#This Row],[DATA BASE]]), N(['[D/N']] = "N"),    [LUCRO P/ OP]), 0)</f>
        <v>0</v>
      </c>
      <c r="AI11" s="15">
        <f>IF([U] = "U", SUMPRODUCT(N([DATA BASE]=NC[[#This Row],[DATA BASE]]), N(['[D/N']] = "D"),    [LUCRO P/ OP]), 0)</f>
        <v>0</v>
      </c>
      <c r="AJ11" s="15">
        <f>IF([U] = "U", SUMPRODUCT(N([DATA BASE]=NC[[#This Row],[DATA BASE]]), N(['[D/N']] = "D"),    [IRRF FONTE]), 0)</f>
        <v>0</v>
      </c>
    </row>
    <row r="12" spans="1:36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78"/>
      <c r="I12" s="19"/>
      <c r="J12" s="13" t="s">
        <v>6</v>
      </c>
      <c r="K12" s="14">
        <f>WORKDAY(NC[[#This Row],[DATA]],1,0)</f>
        <v>40984</v>
      </c>
      <c r="L12" s="22">
        <f>EOMONTH(NC[[#This Row],[DATA DE LIQUIDAÇÃO]],0)</f>
        <v>40999</v>
      </c>
      <c r="M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2" s="15">
        <f>[QTDE]*[PREÇO]</f>
        <v>360</v>
      </c>
      <c r="O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P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Q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R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S12" s="15">
        <f>SETUP!$E$3 * IF([PARCIAL] &gt; 0, [QTDE] / [PARCIAL], 1)</f>
        <v>14.9</v>
      </c>
      <c r="T12" s="15">
        <f>SUMPRODUCT(N([DATA]=NC[[#This Row],[DATA]]),N([ID]&lt;=NC[[#This Row],[ID]]), [CORR])</f>
        <v>14.9</v>
      </c>
      <c r="U12" s="15">
        <f>TRUNC([CORRETAGEM]*SETUP!$F$3,2)</f>
        <v>0.28999999999999998</v>
      </c>
      <c r="V12" s="15">
        <f>ROUND([CORRETAGEM]*SETUP!$G$3,2)</f>
        <v>0.57999999999999996</v>
      </c>
      <c r="W12" s="15">
        <f>[VALOR LÍQUIDO DAS OPERAÇÕES]-[TAXA DE LIQUIDAÇÃO]-[EMOLUMENTOS]-[TAXA DE REGISTRO]-[CORRETAGEM]-[ISS]-IF(['[D/N']]="D",    0,    [OUTRAS BOVESPA]) - [AJUSTE]</f>
        <v>-376.23999999999995</v>
      </c>
      <c r="X12" s="15">
        <f>IF(AND(['[D/N']]="D",    [T]="CV",    [LÍQUIDO BASE] &gt; 0),    TRUNC([LÍQUIDO BASE]*0.01, 2),    0)</f>
        <v>0</v>
      </c>
      <c r="Y12" s="15">
        <f>IF([PREÇO] &gt; 0,    [LÍQUIDO BASE]-SUMPRODUCT(N([DATA]=NC[[#This Row],[DATA]]),    [IRRF FONTE]),    0)</f>
        <v>-376.23999999999995</v>
      </c>
      <c r="Z12" s="15">
        <f>[LÍQUIDO]-SUMPRODUCT(N([DATA]=NC[[#This Row],[DATA]]),N([ID]=(NC[[#This Row],[ID]]-1)),[LÍQUIDO])</f>
        <v>-376.23999999999995</v>
      </c>
      <c r="AA12" s="15">
        <f>IF([T] = "VC", ABS([VALOR OP]) / [QTDE], [VALOR OP]/[QTDE])</f>
        <v>-0.75247999999999993</v>
      </c>
      <c r="AB12" s="15">
        <f>TRUNC(IF(OR([T]="CV",[T]="VV"),     N12*SETUP!$H$3,     0),2)</f>
        <v>0</v>
      </c>
      <c r="AC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D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2" s="15">
        <f>IF([LUCRO TMP] &lt;&gt; 0, [LUCRO TMP] - SUMPRODUCT(N([ATIVO]=NC[[#This Row],[ATIVO]]),N(['[D/N']]="N"),N([ID]&lt;NC[[#This Row],[ID]]),N([PAR]=NC[[#This Row],[PAR]]), [LUCRO TMP]), 0)</f>
        <v>0</v>
      </c>
      <c r="AH12" s="15">
        <f>IF([U] = "U", SUMPRODUCT(N([ID]&lt;=NC[[#This Row],[ID]]),N([DATA BASE]=NC[[#This Row],[DATA BASE]]), N(['[D/N']] = "N"),    [LUCRO P/ OP]), 0)</f>
        <v>0</v>
      </c>
      <c r="AI12" s="15">
        <f>IF([U] = "U", SUMPRODUCT(N([DATA BASE]=NC[[#This Row],[DATA BASE]]), N(['[D/N']] = "D"),    [LUCRO P/ OP]), 0)</f>
        <v>0</v>
      </c>
      <c r="AJ12" s="15">
        <f>IF([U] = "U", SUMPRODUCT(N([DATA BASE]=NC[[#This Row],[DATA BASE]]), N(['[D/N']] = "D"),    [IRRF FONTE]), 0)</f>
        <v>0</v>
      </c>
    </row>
    <row r="13" spans="1:36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78"/>
      <c r="I13" s="19"/>
      <c r="J13" s="13" t="s">
        <v>6</v>
      </c>
      <c r="K13" s="14">
        <f>WORKDAY(NC[[#This Row],[DATA]],1,0)</f>
        <v>40987</v>
      </c>
      <c r="L13" s="22">
        <f>EOMONTH(NC[[#This Row],[DATA DE LIQUIDAÇÃO]],0)</f>
        <v>40999</v>
      </c>
      <c r="M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3" s="15">
        <f>[QTDE]*[PREÇO]</f>
        <v>168</v>
      </c>
      <c r="O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P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13" s="15">
        <f>SETUP!$E$3 * IF([PARCIAL] &gt; 0, [QTDE] / [PARCIAL], 1)</f>
        <v>14.9</v>
      </c>
      <c r="T13" s="15">
        <f>SUMPRODUCT(N([DATA]=NC[[#This Row],[DATA]]),N([ID]&lt;=NC[[#This Row],[ID]]), [CORR])</f>
        <v>14.9</v>
      </c>
      <c r="U13" s="15">
        <f>TRUNC([CORRETAGEM]*SETUP!$F$3,2)</f>
        <v>0.28999999999999998</v>
      </c>
      <c r="V13" s="15">
        <f>ROUND([CORRETAGEM]*SETUP!$G$3,2)</f>
        <v>0.57999999999999996</v>
      </c>
      <c r="W13" s="15">
        <f>[VALOR LÍQUIDO DAS OPERAÇÕES]-[TAXA DE LIQUIDAÇÃO]-[EMOLUMENTOS]-[TAXA DE REGISTRO]-[CORRETAGEM]-[ISS]-IF(['[D/N']]="D",    0,    [OUTRAS BOVESPA]) - [AJUSTE]</f>
        <v>152.01999999999998</v>
      </c>
      <c r="X13" s="15">
        <f>IF(AND(['[D/N']]="D",    [T]="CV",    [LÍQUIDO BASE] &gt; 0),    TRUNC([LÍQUIDO BASE]*0.01, 2),    0)</f>
        <v>0</v>
      </c>
      <c r="Y13" s="15">
        <f>IF([PREÇO] &gt; 0,    [LÍQUIDO BASE]-SUMPRODUCT(N([DATA]=NC[[#This Row],[DATA]]),    [IRRF FONTE]),    0)</f>
        <v>152.01999999999998</v>
      </c>
      <c r="Z13" s="20">
        <f>[LÍQUIDO]-SUMPRODUCT(N([DATA]=NC[[#This Row],[DATA]]),N([ID]=(NC[[#This Row],[ID]]-1)),[LÍQUIDO])</f>
        <v>152.01999999999998</v>
      </c>
      <c r="AA13" s="15">
        <f>IF([T] = "VC", ABS([VALOR OP]) / [QTDE], [VALOR OP]/[QTDE])</f>
        <v>0.19002499999999997</v>
      </c>
      <c r="AB13" s="15">
        <f>TRUNC(IF(OR([T]="CV",[T]="VV"),     N13*SETUP!$H$3,     0),2)</f>
        <v>0</v>
      </c>
      <c r="AC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E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F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G13" s="15">
        <f>IF([LUCRO TMP] &lt;&gt; 0, [LUCRO TMP] - SUMPRODUCT(N([ATIVO]=NC[[#This Row],[ATIVO]]),N(['[D/N']]="N"),N([ID]&lt;NC[[#This Row],[ID]]),N([PAR]=NC[[#This Row],[PAR]]), [LUCRO TMP]), 0)</f>
        <v>-177.33000000000004</v>
      </c>
      <c r="AH13" s="15">
        <f>IF([U] = "U", SUMPRODUCT(N([ID]&lt;=NC[[#This Row],[ID]]),N([DATA BASE]=NC[[#This Row],[DATA BASE]]), N(['[D/N']] = "N"),    [LUCRO P/ OP]), 0)</f>
        <v>0</v>
      </c>
      <c r="AI13" s="15">
        <f>IF([U] = "U", SUMPRODUCT(N([DATA BASE]=NC[[#This Row],[DATA BASE]]), N(['[D/N']] = "D"),    [LUCRO P/ OP]), 0)</f>
        <v>0</v>
      </c>
      <c r="AJ13" s="15">
        <f>IF([U] = "U", SUMPRODUCT(N([DATA BASE]=NC[[#This Row],[DATA BASE]]), N(['[D/N']] = "D"),    [IRRF FONTE]), 0)</f>
        <v>0</v>
      </c>
    </row>
    <row r="14" spans="1:36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78"/>
      <c r="I14" s="19"/>
      <c r="J14" s="13" t="s">
        <v>6</v>
      </c>
      <c r="K14" s="14">
        <f>WORKDAY(NC[[#This Row],[DATA]],1,0)</f>
        <v>40987</v>
      </c>
      <c r="L14" s="22">
        <f>EOMONTH(NC[[#This Row],[DATA DE LIQUIDAÇÃO]],0)</f>
        <v>40999</v>
      </c>
      <c r="M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4" s="15">
        <f>[QTDE]*[PREÇO]</f>
        <v>320</v>
      </c>
      <c r="O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P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R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14" s="15">
        <f>SETUP!$E$3 * IF([PARCIAL] &gt; 0, [QTDE] / [PARCIAL], 1)</f>
        <v>14.9</v>
      </c>
      <c r="T14" s="15">
        <f>SUMPRODUCT(N([DATA]=NC[[#This Row],[DATA]]),N([ID]&lt;=NC[[#This Row],[ID]]), [CORR])</f>
        <v>29.8</v>
      </c>
      <c r="U14" s="15">
        <f>TRUNC([CORRETAGEM]*SETUP!$F$3,2)</f>
        <v>0.59</v>
      </c>
      <c r="V14" s="15">
        <f>ROUND([CORRETAGEM]*SETUP!$G$3,2)</f>
        <v>1.1599999999999999</v>
      </c>
      <c r="W14" s="15">
        <f>[VALOR LÍQUIDO DAS OPERAÇÕES]-[TAXA DE LIQUIDAÇÃO]-[EMOLUMENTOS]-[TAXA DE REGISTRO]-[CORRETAGEM]-[ISS]-IF(['[D/N']]="D",    0,    [OUTRAS BOVESPA]) - [AJUSTE]</f>
        <v>455.81</v>
      </c>
      <c r="X14" s="15">
        <f>IF(AND(['[D/N']]="D",    [T]="CV",    [LÍQUIDO BASE] &gt; 0),    TRUNC([LÍQUIDO BASE]*0.01, 2),    0)</f>
        <v>0</v>
      </c>
      <c r="Y14" s="15">
        <f>IF([PREÇO] &gt; 0,    [LÍQUIDO BASE]-SUMPRODUCT(N([DATA]=NC[[#This Row],[DATA]]),    [IRRF FONTE]),    0)</f>
        <v>455.81</v>
      </c>
      <c r="Z14" s="20">
        <f>[LÍQUIDO]-SUMPRODUCT(N([DATA]=NC[[#This Row],[DATA]]),N([ID]=(NC[[#This Row],[ID]]-1)),[LÍQUIDO])</f>
        <v>303.79000000000002</v>
      </c>
      <c r="AA14" s="15">
        <f>IF([T] = "VC", ABS([VALOR OP]) / [QTDE], [VALOR OP]/[QTDE])</f>
        <v>0.60758000000000001</v>
      </c>
      <c r="AB14" s="15">
        <f>TRUNC(IF(OR([T]="CV",[T]="VV"),     N14*SETUP!$H$3,     0),2)</f>
        <v>0.01</v>
      </c>
      <c r="AC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E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F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G14" s="15">
        <f>IF([LUCRO TMP] &lt;&gt; 0, [LUCRO TMP] - SUMPRODUCT(N([ATIVO]=NC[[#This Row],[ATIVO]]),N(['[D/N']]="N"),N([ID]&lt;NC[[#This Row],[ID]]),N([PAR]=NC[[#This Row],[PAR]]), [LUCRO TMP]), 0)</f>
        <v>-72.44999999999996</v>
      </c>
      <c r="AH14" s="15">
        <f>IF([U] = "U", SUMPRODUCT(N([ID]&lt;=NC[[#This Row],[ID]]),N([DATA BASE]=NC[[#This Row],[DATA BASE]]), N(['[D/N']] = "N"),    [LUCRO P/ OP]), 0)</f>
        <v>0</v>
      </c>
      <c r="AI14" s="15">
        <f>IF([U] = "U", SUMPRODUCT(N([DATA BASE]=NC[[#This Row],[DATA BASE]]), N(['[D/N']] = "D"),    [LUCRO P/ OP]), 0)</f>
        <v>0</v>
      </c>
      <c r="AJ14" s="15">
        <f>IF([U] = "U", SUMPRODUCT(N([DATA BASE]=NC[[#This Row],[DATA BASE]]), N(['[D/N']] = "D"),    [IRRF FONTE]), 0)</f>
        <v>0</v>
      </c>
    </row>
    <row r="15" spans="1:36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78"/>
      <c r="I15" s="19"/>
      <c r="J15" s="13" t="s">
        <v>6</v>
      </c>
      <c r="K15" s="14">
        <f>WORKDAY(NC[[#This Row],[DATA]],1,0)</f>
        <v>40987</v>
      </c>
      <c r="L15" s="22">
        <f>EOMONTH(NC[[#This Row],[DATA DE LIQUIDAÇÃO]],0)</f>
        <v>40999</v>
      </c>
      <c r="M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5" s="15">
        <f>[QTDE]*[PREÇO]</f>
        <v>106</v>
      </c>
      <c r="O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P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15" s="15">
        <f>SETUP!$E$3 * IF([PARCIAL] &gt; 0, [QTDE] / [PARCIAL], 1)</f>
        <v>14.9</v>
      </c>
      <c r="T15" s="15">
        <f>SUMPRODUCT(N([DATA]=NC[[#This Row],[DATA]]),N([ID]&lt;=NC[[#This Row],[ID]]), [CORR])</f>
        <v>44.7</v>
      </c>
      <c r="U15" s="15">
        <f>TRUNC([CORRETAGEM]*SETUP!$F$3,2)</f>
        <v>0.89</v>
      </c>
      <c r="V15" s="15">
        <f>ROUND([CORRETAGEM]*SETUP!$G$3,2)</f>
        <v>1.74</v>
      </c>
      <c r="W15" s="15">
        <f>[VALOR LÍQUIDO DAS OPERAÇÕES]-[TAXA DE LIQUIDAÇÃO]-[EMOLUMENTOS]-[TAXA DE REGISTRO]-[CORRETAGEM]-[ISS]-IF(['[D/N']]="D",    0,    [OUTRAS BOVESPA]) - [AJUSTE]</f>
        <v>545.89</v>
      </c>
      <c r="X15" s="15">
        <f>IF(AND(['[D/N']]="D",    [T]="CV",    [LÍQUIDO BASE] &gt; 0),    TRUNC([LÍQUIDO BASE]*0.01, 2),    0)</f>
        <v>0</v>
      </c>
      <c r="Y15" s="15">
        <f>IF([PREÇO] &gt; 0,    [LÍQUIDO BASE]-SUMPRODUCT(N([DATA]=NC[[#This Row],[DATA]]),    [IRRF FONTE]),    0)</f>
        <v>545.89</v>
      </c>
      <c r="Z15" s="20">
        <f>[LÍQUIDO]-SUMPRODUCT(N([DATA]=NC[[#This Row],[DATA]]),N([ID]=(NC[[#This Row],[ID]]-1)),[LÍQUIDO])</f>
        <v>90.079999999999984</v>
      </c>
      <c r="AA15" s="15">
        <f>IF([T] = "VC", ABS([VALOR OP]) / [QTDE], [VALOR OP]/[QTDE])</f>
        <v>0.90079999999999982</v>
      </c>
      <c r="AB15" s="15">
        <f>TRUNC(IF(OR([T]="CV",[T]="VV"),     N15*SETUP!$H$3,     0),2)</f>
        <v>0</v>
      </c>
      <c r="AC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E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F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G15" s="15">
        <f>IF([LUCRO TMP] &lt;&gt; 0, [LUCRO TMP] - SUMPRODUCT(N([ATIVO]=NC[[#This Row],[ATIVO]]),N(['[D/N']]="N"),N([ID]&lt;NC[[#This Row],[ID]]),N([PAR]=NC[[#This Row],[PAR]]), [LUCRO TMP]), 0)</f>
        <v>2.0900000000000252</v>
      </c>
      <c r="AH15" s="15">
        <f>IF([U] = "U", SUMPRODUCT(N([ID]&lt;=NC[[#This Row],[ID]]),N([DATA BASE]=NC[[#This Row],[DATA BASE]]), N(['[D/N']] = "N"),    [LUCRO P/ OP]), 0)</f>
        <v>0</v>
      </c>
      <c r="AI15" s="15">
        <f>IF([U] = "U", SUMPRODUCT(N([DATA BASE]=NC[[#This Row],[DATA BASE]]), N(['[D/N']] = "D"),    [LUCRO P/ OP]), 0)</f>
        <v>0</v>
      </c>
      <c r="AJ15" s="15">
        <f>IF([U] = "U", SUMPRODUCT(N([DATA BASE]=NC[[#This Row],[DATA BASE]]), N(['[D/N']] = "D"),    [IRRF FONTE]), 0)</f>
        <v>0</v>
      </c>
    </row>
    <row r="16" spans="1:36" ht="11.25" customHeight="1">
      <c r="A16" s="13">
        <v>15</v>
      </c>
      <c r="B16" s="13"/>
      <c r="C16" s="13" t="s">
        <v>50</v>
      </c>
      <c r="D16" s="13" t="s">
        <v>24</v>
      </c>
      <c r="E16" s="14">
        <v>40990</v>
      </c>
      <c r="F16" s="13">
        <v>700</v>
      </c>
      <c r="G16" s="15">
        <v>0.6</v>
      </c>
      <c r="H16" s="78"/>
      <c r="I16" s="19"/>
      <c r="J16" s="13" t="s">
        <v>6</v>
      </c>
      <c r="K16" s="14">
        <f>WORKDAY(NC[[#This Row],[DATA]],1,0)</f>
        <v>40991</v>
      </c>
      <c r="L16" s="22">
        <f>EOMONTH(NC[[#This Row],[DATA DE LIQUIDAÇÃO]],0)</f>
        <v>40999</v>
      </c>
      <c r="M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6" s="15">
        <f>[QTDE]*[PREÇO]</f>
        <v>420</v>
      </c>
      <c r="O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P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16" s="15">
        <f>SETUP!$E$3 * IF([PARCIAL] &gt; 0, [QTDE] / [PARCIAL], 1)</f>
        <v>14.9</v>
      </c>
      <c r="T16" s="15">
        <f>SUMPRODUCT(N([DATA]=NC[[#This Row],[DATA]]),N([ID]&lt;=NC[[#This Row],[ID]]), [CORR])</f>
        <v>14.9</v>
      </c>
      <c r="U16" s="15">
        <f>TRUNC([CORRETAGEM]*SETUP!$F$3,2)</f>
        <v>0.28999999999999998</v>
      </c>
      <c r="V16" s="15">
        <f>ROUND([CORRETAGEM]*SETUP!$G$3,2)</f>
        <v>0.57999999999999996</v>
      </c>
      <c r="W16" s="15">
        <f>[VALOR LÍQUIDO DAS OPERAÇÕES]-[TAXA DE LIQUIDAÇÃO]-[EMOLUMENTOS]-[TAXA DE REGISTRO]-[CORRETAGEM]-[ISS]-IF(['[D/N']]="D",    0,    [OUTRAS BOVESPA]) - [AJUSTE]</f>
        <v>-436.32</v>
      </c>
      <c r="X16" s="15">
        <f>IF(AND(['[D/N']]="D",    [T]="CV",    [LÍQUIDO BASE] &gt; 0),    TRUNC([LÍQUIDO BASE]*0.01, 2),    0)</f>
        <v>0</v>
      </c>
      <c r="Y16" s="15">
        <f>IF([PREÇO] &gt; 0,    [LÍQUIDO BASE]-SUMPRODUCT(N([DATA]=NC[[#This Row],[DATA]]),    [IRRF FONTE]),    0)</f>
        <v>-436.32</v>
      </c>
      <c r="Z16" s="20">
        <f>[LÍQUIDO]-SUMPRODUCT(N([DATA]=NC[[#This Row],[DATA]]),N([ID]=(NC[[#This Row],[ID]]-1)),[LÍQUIDO])</f>
        <v>-436.32</v>
      </c>
      <c r="AA16" s="15">
        <f>IF([T] = "VC", ABS([VALOR OP]) / [QTDE], [VALOR OP]/[QTDE])</f>
        <v>-0.62331428571428571</v>
      </c>
      <c r="AB16" s="15">
        <f>TRUNC(IF(OR([T]="CV",[T]="VV"),     N16*SETUP!$H$3,     0),2)</f>
        <v>0</v>
      </c>
      <c r="AC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D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6" s="15">
        <f>IF([LUCRO TMP] &lt;&gt; 0, [LUCRO TMP] - SUMPRODUCT(N([ATIVO]=NC[[#This Row],[ATIVO]]),N(['[D/N']]="N"),N([ID]&lt;NC[[#This Row],[ID]]),N([PAR]=NC[[#This Row],[PAR]]), [LUCRO TMP]), 0)</f>
        <v>0</v>
      </c>
      <c r="AH16" s="15">
        <f>IF([U] = "U", SUMPRODUCT(N([ID]&lt;=NC[[#This Row],[ID]]),N([DATA BASE]=NC[[#This Row],[DATA BASE]]), N(['[D/N']] = "N"),    [LUCRO P/ OP]), 0)</f>
        <v>0</v>
      </c>
      <c r="AI16" s="15">
        <f>IF([U] = "U", SUMPRODUCT(N([DATA BASE]=NC[[#This Row],[DATA BASE]]), N(['[D/N']] = "D"),    [LUCRO P/ OP]), 0)</f>
        <v>0</v>
      </c>
      <c r="AJ16" s="15">
        <f>IF([U] = "U", SUMPRODUCT(N([DATA BASE]=NC[[#This Row],[DATA BASE]]), N(['[D/N']] = "D"),    [IRRF FONTE]), 0)</f>
        <v>0</v>
      </c>
    </row>
    <row r="17" spans="1:36" ht="11.25" customHeight="1">
      <c r="A17" s="13">
        <v>16</v>
      </c>
      <c r="B17" s="13"/>
      <c r="C17" s="13" t="s">
        <v>51</v>
      </c>
      <c r="D17" s="13" t="s">
        <v>24</v>
      </c>
      <c r="E17" s="14">
        <v>40991</v>
      </c>
      <c r="F17" s="13">
        <v>1700</v>
      </c>
      <c r="G17" s="15">
        <v>0.26</v>
      </c>
      <c r="H17" s="78"/>
      <c r="I17" s="19"/>
      <c r="J17" s="13" t="s">
        <v>6</v>
      </c>
      <c r="K17" s="14">
        <f>WORKDAY(NC[[#This Row],[DATA]],1,0)</f>
        <v>40994</v>
      </c>
      <c r="L17" s="22">
        <f>EOMONTH(NC[[#This Row],[DATA DE LIQUIDAÇÃO]],0)</f>
        <v>40999</v>
      </c>
      <c r="M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7" s="15">
        <f>[QTDE]*[PREÇO]</f>
        <v>442</v>
      </c>
      <c r="O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P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S17" s="15">
        <f>SETUP!$E$3 * IF([PARCIAL] &gt; 0, [QTDE] / [PARCIAL], 1)</f>
        <v>14.9</v>
      </c>
      <c r="T17" s="15">
        <f>SUMPRODUCT(N([DATA]=NC[[#This Row],[DATA]]),N([ID]&lt;=NC[[#This Row],[ID]]), [CORR])</f>
        <v>14.9</v>
      </c>
      <c r="U17" s="15">
        <f>TRUNC([CORRETAGEM]*SETUP!$F$3,2)</f>
        <v>0.28999999999999998</v>
      </c>
      <c r="V17" s="15">
        <f>ROUND([CORRETAGEM]*SETUP!$G$3,2)</f>
        <v>0.57999999999999996</v>
      </c>
      <c r="W17" s="15">
        <f>[VALOR LÍQUIDO DAS OPERAÇÕES]-[TAXA DE LIQUIDAÇÃO]-[EMOLUMENTOS]-[TAXA DE REGISTRO]-[CORRETAGEM]-[ISS]-IF(['[D/N']]="D",    0,    [OUTRAS BOVESPA]) - [AJUSTE]</f>
        <v>-458.35</v>
      </c>
      <c r="X17" s="15">
        <f>IF(AND(['[D/N']]="D",    [T]="CV",    [LÍQUIDO BASE] &gt; 0),    TRUNC([LÍQUIDO BASE]*0.01, 2),    0)</f>
        <v>0</v>
      </c>
      <c r="Y17" s="15">
        <f>IF([PREÇO] &gt; 0,    [LÍQUIDO BASE]-SUMPRODUCT(N([DATA]=NC[[#This Row],[DATA]]),    [IRRF FONTE]),    0)</f>
        <v>-458.35</v>
      </c>
      <c r="Z17" s="20">
        <f>[LÍQUIDO]-SUMPRODUCT(N([DATA]=NC[[#This Row],[DATA]]),N([ID]=(NC[[#This Row],[ID]]-1)),[LÍQUIDO])</f>
        <v>-458.35</v>
      </c>
      <c r="AA17" s="15">
        <f>IF([T] = "VC", ABS([VALOR OP]) / [QTDE], [VALOR OP]/[QTDE])</f>
        <v>-0.26961764705882352</v>
      </c>
      <c r="AB17" s="15">
        <f>TRUNC(IF(OR([T]="CV",[T]="VV"),     N17*SETUP!$H$3,     0),2)</f>
        <v>0</v>
      </c>
      <c r="AC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D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17" s="15">
        <f>IF([LUCRO TMP] &lt;&gt; 0, [LUCRO TMP] - SUMPRODUCT(N([ATIVO]=NC[[#This Row],[ATIVO]]),N(['[D/N']]="N"),N([ID]&lt;NC[[#This Row],[ID]]),N([PAR]=NC[[#This Row],[PAR]]), [LUCRO TMP]), 0)</f>
        <v>0</v>
      </c>
      <c r="AH17" s="15">
        <f>IF([U] = "U", SUMPRODUCT(N([ID]&lt;=NC[[#This Row],[ID]]),N([DATA BASE]=NC[[#This Row],[DATA BASE]]), N(['[D/N']] = "N"),    [LUCRO P/ OP]), 0)</f>
        <v>0</v>
      </c>
      <c r="AI17" s="15">
        <f>IF([U] = "U", SUMPRODUCT(N([DATA BASE]=NC[[#This Row],[DATA BASE]]), N(['[D/N']] = "D"),    [LUCRO P/ OP]), 0)</f>
        <v>0</v>
      </c>
      <c r="AJ17" s="15">
        <f>IF([U] = "U", SUMPRODUCT(N([DATA BASE]=NC[[#This Row],[DATA BASE]]), N(['[D/N']] = "D"),    [IRRF FONTE]), 0)</f>
        <v>0</v>
      </c>
    </row>
    <row r="18" spans="1:36" ht="11.25" customHeight="1">
      <c r="A18" s="13">
        <v>17</v>
      </c>
      <c r="B18" s="13"/>
      <c r="C18" s="13" t="s">
        <v>50</v>
      </c>
      <c r="D18" s="13" t="s">
        <v>25</v>
      </c>
      <c r="E18" s="14">
        <v>40994</v>
      </c>
      <c r="F18" s="13">
        <v>700</v>
      </c>
      <c r="G18" s="15">
        <v>0.17</v>
      </c>
      <c r="H18" s="78"/>
      <c r="I18" s="19"/>
      <c r="J18" s="13" t="s">
        <v>6</v>
      </c>
      <c r="K18" s="14">
        <f>WORKDAY(NC[[#This Row],[DATA]],1,0)</f>
        <v>40995</v>
      </c>
      <c r="L18" s="22">
        <f>EOMONTH(NC[[#This Row],[DATA DE LIQUIDAÇÃO]],0)</f>
        <v>40999</v>
      </c>
      <c r="M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18" s="15">
        <f>[QTDE]*[PREÇO]</f>
        <v>119.00000000000001</v>
      </c>
      <c r="O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P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R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S18" s="15">
        <f>SETUP!$E$3 * IF([PARCIAL] &gt; 0, [QTDE] / [PARCIAL], 1)</f>
        <v>14.9</v>
      </c>
      <c r="T18" s="15">
        <f>SUMPRODUCT(N([DATA]=NC[[#This Row],[DATA]]),N([ID]&lt;=NC[[#This Row],[ID]]), [CORR])</f>
        <v>14.9</v>
      </c>
      <c r="U18" s="15">
        <f>TRUNC([CORRETAGEM]*SETUP!$F$3,2)</f>
        <v>0.28999999999999998</v>
      </c>
      <c r="V18" s="15">
        <f>ROUND([CORRETAGEM]*SETUP!$G$3,2)</f>
        <v>0.57999999999999996</v>
      </c>
      <c r="W18" s="15">
        <f>[VALOR LÍQUIDO DAS OPERAÇÕES]-[TAXA DE LIQUIDAÇÃO]-[EMOLUMENTOS]-[TAXA DE REGISTRO]-[CORRETAGEM]-[ISS]-IF(['[D/N']]="D",    0,    [OUTRAS BOVESPA]) - [AJUSTE]</f>
        <v>103.08</v>
      </c>
      <c r="X18" s="15">
        <f>IF(AND(['[D/N']]="D",    [T]="CV",    [LÍQUIDO BASE] &gt; 0),    TRUNC([LÍQUIDO BASE]*0.01, 2),    0)</f>
        <v>0</v>
      </c>
      <c r="Y18" s="15">
        <f>IF([PREÇO] &gt; 0,    [LÍQUIDO BASE]-SUMPRODUCT(N([DATA]=NC[[#This Row],[DATA]]),    [IRRF FONTE]),    0)</f>
        <v>103.08</v>
      </c>
      <c r="Z18" s="20">
        <f>[LÍQUIDO]-SUMPRODUCT(N([DATA]=NC[[#This Row],[DATA]]),N([ID]=(NC[[#This Row],[ID]]-1)),[LÍQUIDO])</f>
        <v>103.08</v>
      </c>
      <c r="AA18" s="15">
        <f>IF([T] = "VC", ABS([VALOR OP]) / [QTDE], [VALOR OP]/[QTDE])</f>
        <v>0.14725714285714286</v>
      </c>
      <c r="AB18" s="15">
        <f>TRUNC(IF(OR([T]="CV",[T]="VV"),     N18*SETUP!$H$3,     0),2)</f>
        <v>0</v>
      </c>
      <c r="AC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E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F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G18" s="15">
        <f>IF([LUCRO TMP] &lt;&gt; 0, [LUCRO TMP] - SUMPRODUCT(N([ATIVO]=NC[[#This Row],[ATIVO]]),N(['[D/N']]="N"),N([ID]&lt;NC[[#This Row],[ID]]),N([PAR]=NC[[#This Row],[PAR]]), [LUCRO TMP]), 0)</f>
        <v>-333.24</v>
      </c>
      <c r="AH18" s="15">
        <f>IF([U] = "U", SUMPRODUCT(N([ID]&lt;=NC[[#This Row],[ID]]),N([DATA BASE]=NC[[#This Row],[DATA BASE]]), N(['[D/N']] = "N"),    [LUCRO P/ OP]), 0)</f>
        <v>0</v>
      </c>
      <c r="AI18" s="15">
        <f>IF([U] = "U", SUMPRODUCT(N([DATA BASE]=NC[[#This Row],[DATA BASE]]), N(['[D/N']] = "D"),    [LUCRO P/ OP]), 0)</f>
        <v>0</v>
      </c>
      <c r="AJ18" s="15">
        <f>IF([U] = "U", SUMPRODUCT(N([DATA BASE]=NC[[#This Row],[DATA BASE]]), N(['[D/N']] = "D"),    [IRRF FONTE]), 0)</f>
        <v>0</v>
      </c>
    </row>
    <row r="19" spans="1:36" ht="11.25" customHeight="1">
      <c r="A19" s="13">
        <v>18</v>
      </c>
      <c r="B19" s="13"/>
      <c r="C19" s="13" t="s">
        <v>51</v>
      </c>
      <c r="D19" s="13" t="s">
        <v>25</v>
      </c>
      <c r="E19" s="14">
        <v>40997</v>
      </c>
      <c r="F19" s="13">
        <v>1700</v>
      </c>
      <c r="G19" s="15">
        <v>0.08</v>
      </c>
      <c r="H19" s="78"/>
      <c r="I19" s="19"/>
      <c r="J19" s="13" t="s">
        <v>6</v>
      </c>
      <c r="K19" s="14">
        <f>WORKDAY(NC[[#This Row],[DATA]],1,0)</f>
        <v>40998</v>
      </c>
      <c r="L19" s="22">
        <f>EOMONTH(NC[[#This Row],[DATA DE LIQUIDAÇÃO]],0)</f>
        <v>40999</v>
      </c>
      <c r="M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19" s="15">
        <f>[QTDE]*[PREÇO]</f>
        <v>136</v>
      </c>
      <c r="O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19" s="15">
        <f>SETUP!$E$3 * IF([PARCIAL] &gt; 0, [QTDE] / [PARCIAL], 1)</f>
        <v>14.9</v>
      </c>
      <c r="T19" s="15">
        <f>SUMPRODUCT(N([DATA]=NC[[#This Row],[DATA]]),N([ID]&lt;=NC[[#This Row],[ID]]), [CORR])</f>
        <v>14.9</v>
      </c>
      <c r="U19" s="15">
        <f>TRUNC([CORRETAGEM]*SETUP!$F$3,2)</f>
        <v>0.28999999999999998</v>
      </c>
      <c r="V19" s="15">
        <f>ROUND([CORRETAGEM]*SETUP!$G$3,2)</f>
        <v>0.57999999999999996</v>
      </c>
      <c r="W19" s="15">
        <f>[VALOR LÍQUIDO DAS OPERAÇÕES]-[TAXA DE LIQUIDAÇÃO]-[EMOLUMENTOS]-[TAXA DE REGISTRO]-[CORRETAGEM]-[ISS]-IF(['[D/N']]="D",    0,    [OUTRAS BOVESPA]) - [AJUSTE]</f>
        <v>120.05999999999997</v>
      </c>
      <c r="X19" s="15">
        <f>IF(AND(['[D/N']]="D",    [T]="CV",    [LÍQUIDO BASE] &gt; 0),    TRUNC([LÍQUIDO BASE]*0.01, 2),    0)</f>
        <v>0</v>
      </c>
      <c r="Y19" s="15">
        <f>IF([PREÇO] &gt; 0,    [LÍQUIDO BASE]-SUMPRODUCT(N([DATA]=NC[[#This Row],[DATA]]),    [IRRF FONTE]),    0)</f>
        <v>120.05999999999997</v>
      </c>
      <c r="Z19" s="20">
        <f>[LÍQUIDO]-SUMPRODUCT(N([DATA]=NC[[#This Row],[DATA]]),N([ID]=(NC[[#This Row],[ID]]-1)),[LÍQUIDO])</f>
        <v>120.05999999999997</v>
      </c>
      <c r="AA19" s="15">
        <f>IF([T] = "VC", ABS([VALOR OP]) / [QTDE], [VALOR OP]/[QTDE])</f>
        <v>7.0623529411764696E-2</v>
      </c>
      <c r="AB19" s="15">
        <f>TRUNC(IF(OR([T]="CV",[T]="VV"),     N19*SETUP!$H$3,     0),2)</f>
        <v>0</v>
      </c>
      <c r="AC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E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F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G19" s="15">
        <f>IF([LUCRO TMP] &lt;&gt; 0, [LUCRO TMP] - SUMPRODUCT(N([ATIVO]=NC[[#This Row],[ATIVO]]),N(['[D/N']]="N"),N([ID]&lt;NC[[#This Row],[ID]]),N([PAR]=NC[[#This Row],[PAR]]), [LUCRO TMP]), 0)</f>
        <v>-338.29</v>
      </c>
      <c r="AH19" s="15">
        <f>IF([U] = "U", SUMPRODUCT(N([ID]&lt;=NC[[#This Row],[ID]]),N([DATA BASE]=NC[[#This Row],[DATA BASE]]), N(['[D/N']] = "N"),    [LUCRO P/ OP]), 0)</f>
        <v>0</v>
      </c>
      <c r="AI19" s="15">
        <f>IF([U] = "U", SUMPRODUCT(N([DATA BASE]=NC[[#This Row],[DATA BASE]]), N(['[D/N']] = "D"),    [LUCRO P/ OP]), 0)</f>
        <v>0</v>
      </c>
      <c r="AJ19" s="15">
        <f>IF([U] = "U", SUMPRODUCT(N([DATA BASE]=NC[[#This Row],[DATA BASE]]), N(['[D/N']] = "D"),    [IRRF FONTE]), 0)</f>
        <v>0</v>
      </c>
    </row>
    <row r="20" spans="1:36" ht="11.25" customHeight="1">
      <c r="A20" s="13">
        <v>19</v>
      </c>
      <c r="B20" s="13" t="s">
        <v>49</v>
      </c>
      <c r="C20" s="13" t="s">
        <v>52</v>
      </c>
      <c r="D20" s="13" t="s">
        <v>24</v>
      </c>
      <c r="E20" s="14">
        <v>40997</v>
      </c>
      <c r="F20" s="13">
        <v>1900</v>
      </c>
      <c r="G20" s="15">
        <v>0.24</v>
      </c>
      <c r="H20" s="78"/>
      <c r="I20" s="19"/>
      <c r="J20" s="13" t="s">
        <v>6</v>
      </c>
      <c r="K20" s="14">
        <f>WORKDAY(NC[[#This Row],[DATA]],1,0)</f>
        <v>40998</v>
      </c>
      <c r="L20" s="22">
        <f>EOMONTH(NC[[#This Row],[DATA DE LIQUIDAÇÃO]],0)</f>
        <v>40999</v>
      </c>
      <c r="M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0" s="15">
        <f>[QTDE]*[PREÇO]</f>
        <v>456</v>
      </c>
      <c r="O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P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Q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R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S20" s="15">
        <f>SETUP!$E$3 * IF([PARCIAL] &gt; 0, [QTDE] / [PARCIAL], 1)</f>
        <v>14.9</v>
      </c>
      <c r="T20" s="15">
        <f>SUMPRODUCT(N([DATA]=NC[[#This Row],[DATA]]),N([ID]&lt;=NC[[#This Row],[ID]]), [CORR])</f>
        <v>29.8</v>
      </c>
      <c r="U20" s="15">
        <f>TRUNC([CORRETAGEM]*SETUP!$F$3,2)</f>
        <v>0.59</v>
      </c>
      <c r="V20" s="15">
        <f>ROUND([CORRETAGEM]*SETUP!$G$3,2)</f>
        <v>1.1599999999999999</v>
      </c>
      <c r="W20" s="15">
        <f>[VALOR LÍQUIDO DAS OPERAÇÕES]-[TAXA DE LIQUIDAÇÃO]-[EMOLUMENTOS]-[TAXA DE REGISTRO]-[CORRETAGEM]-[ISS]-IF(['[D/N']]="D",    0,    [OUTRAS BOVESPA]) - [AJUSTE]</f>
        <v>-352.33000000000004</v>
      </c>
      <c r="X20" s="15">
        <f>IF(AND(['[D/N']]="D",    [T]="CV",    [LÍQUIDO BASE] &gt; 0),    TRUNC([LÍQUIDO BASE]*0.01, 2),    0)</f>
        <v>0</v>
      </c>
      <c r="Y20" s="15">
        <f>IF([PREÇO] &gt; 0,    [LÍQUIDO BASE]-SUMPRODUCT(N([DATA]=NC[[#This Row],[DATA]]),    [IRRF FONTE]),    0)</f>
        <v>-352.33000000000004</v>
      </c>
      <c r="Z20" s="20">
        <f>[LÍQUIDO]-SUMPRODUCT(N([DATA]=NC[[#This Row],[DATA]]),N([ID]=(NC[[#This Row],[ID]]-1)),[LÍQUIDO])</f>
        <v>-472.39</v>
      </c>
      <c r="AA20" s="15">
        <f>IF([T] = "VC", ABS([VALOR OP]) / [QTDE], [VALOR OP]/[QTDE])</f>
        <v>-0.24862631578947367</v>
      </c>
      <c r="AB20" s="15">
        <f>TRUNC(IF(OR([T]="CV",[T]="VV"),     N20*SETUP!$H$3,     0),2)</f>
        <v>0</v>
      </c>
      <c r="AC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D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0" s="15">
        <f>IF([LUCRO TMP] &lt;&gt; 0, [LUCRO TMP] - SUMPRODUCT(N([ATIVO]=NC[[#This Row],[ATIVO]]),N(['[D/N']]="N"),N([ID]&lt;NC[[#This Row],[ID]]),N([PAR]=NC[[#This Row],[PAR]]), [LUCRO TMP]), 0)</f>
        <v>0</v>
      </c>
      <c r="AH20" s="15">
        <f>IF([U] = "U", SUMPRODUCT(N([ID]&lt;=NC[[#This Row],[ID]]),N([DATA BASE]=NC[[#This Row],[DATA BASE]]), N(['[D/N']] = "N"),    [LUCRO P/ OP]), 0)</f>
        <v>-656.81000000000017</v>
      </c>
      <c r="AI20" s="15">
        <f>IF([U] = "U", SUMPRODUCT(N([DATA BASE]=NC[[#This Row],[DATA BASE]]), N(['[D/N']] = "D"),    [LUCRO P/ OP]), 0)</f>
        <v>478.50999999999988</v>
      </c>
      <c r="AJ20" s="15">
        <f>IF([U] = "U", SUMPRODUCT(N([DATA BASE]=NC[[#This Row],[DATA BASE]]), N(['[D/N']] = "D"),    [IRRF FONTE]), 0)</f>
        <v>4.78</v>
      </c>
    </row>
    <row r="21" spans="1:36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78"/>
      <c r="I21" s="19"/>
      <c r="J21" s="13" t="s">
        <v>6</v>
      </c>
      <c r="K21" s="14">
        <f>WORKDAY(NC[[#This Row],[DATA]],1,0)</f>
        <v>41001</v>
      </c>
      <c r="L21" s="22">
        <f>EOMONTH(NC[[#This Row],[DATA DE LIQUIDAÇÃO]],0)</f>
        <v>41029</v>
      </c>
      <c r="M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1" s="15">
        <f>[QTDE]*[PREÇO]</f>
        <v>456</v>
      </c>
      <c r="O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P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Q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R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S21" s="15">
        <f>SETUP!$E$3 * IF([PARCIAL] &gt; 0, [QTDE] / [PARCIAL], 1)</f>
        <v>14.9</v>
      </c>
      <c r="T21" s="15">
        <f>SUMPRODUCT(N([DATA]=NC[[#This Row],[DATA]]),N([ID]&lt;=NC[[#This Row],[ID]]), [CORR])</f>
        <v>14.9</v>
      </c>
      <c r="U21" s="15">
        <f>TRUNC([CORRETAGEM]*SETUP!$F$3,2)</f>
        <v>0.28999999999999998</v>
      </c>
      <c r="V21" s="15">
        <f>ROUND([CORRETAGEM]*SETUP!$G$3,2)</f>
        <v>0.57999999999999996</v>
      </c>
      <c r="W21" s="15">
        <f>[VALOR LÍQUIDO DAS OPERAÇÕES]-[TAXA DE LIQUIDAÇÃO]-[EMOLUMENTOS]-[TAXA DE REGISTRO]-[CORRETAGEM]-[ISS]-IF(['[D/N']]="D",    0,    [OUTRAS BOVESPA]) - [AJUSTE]</f>
        <v>-472.36</v>
      </c>
      <c r="X21" s="15">
        <f>IF(AND(['[D/N']]="D",    [T]="CV",    [LÍQUIDO BASE] &gt; 0),    TRUNC([LÍQUIDO BASE]*0.01, 2),    0)</f>
        <v>0</v>
      </c>
      <c r="Y21" s="15">
        <f>IF([PREÇO] &gt; 0,    [LÍQUIDO BASE]-SUMPRODUCT(N([DATA]=NC[[#This Row],[DATA]]),    [IRRF FONTE]),    0)</f>
        <v>-472.36</v>
      </c>
      <c r="Z21" s="20">
        <f>[LÍQUIDO]-SUMPRODUCT(N([DATA]=NC[[#This Row],[DATA]]),N([ID]=(NC[[#This Row],[ID]]-1)),[LÍQUIDO])</f>
        <v>-472.36</v>
      </c>
      <c r="AA21" s="15">
        <f>IF([T] = "VC", ABS([VALOR OP]) / [QTDE], [VALOR OP]/[QTDE])</f>
        <v>-0.39363333333333334</v>
      </c>
      <c r="AB21" s="15">
        <f>TRUNC(IF(OR([T]="CV",[T]="VV"),     N21*SETUP!$H$3,     0),2)</f>
        <v>0</v>
      </c>
      <c r="AC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D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1" s="15">
        <f>IF([LUCRO TMP] &lt;&gt; 0, [LUCRO TMP] - SUMPRODUCT(N([ATIVO]=NC[[#This Row],[ATIVO]]),N(['[D/N']]="N"),N([ID]&lt;NC[[#This Row],[ID]]),N([PAR]=NC[[#This Row],[PAR]]), [LUCRO TMP]), 0)</f>
        <v>0</v>
      </c>
      <c r="AH21" s="15">
        <f>IF([U] = "U", SUMPRODUCT(N([ID]&lt;=NC[[#This Row],[ID]]),N([DATA BASE]=NC[[#This Row],[DATA BASE]]), N(['[D/N']] = "N"),    [LUCRO P/ OP]), 0)</f>
        <v>0</v>
      </c>
      <c r="AI21" s="15">
        <f>IF([U] = "U", SUMPRODUCT(N([DATA BASE]=NC[[#This Row],[DATA BASE]]), N(['[D/N']] = "D"),    [LUCRO P/ OP]), 0)</f>
        <v>0</v>
      </c>
      <c r="AJ21" s="15">
        <f>IF([U] = "U", SUMPRODUCT(N([DATA BASE]=NC[[#This Row],[DATA BASE]]), N(['[D/N']] = "D"),    [IRRF FONTE]), 0)</f>
        <v>0</v>
      </c>
    </row>
    <row r="22" spans="1:36" ht="11.25" customHeight="1">
      <c r="A22" s="13">
        <v>21</v>
      </c>
      <c r="B22" s="13"/>
      <c r="C22" s="13" t="s">
        <v>51</v>
      </c>
      <c r="D22" s="13" t="s">
        <v>24</v>
      </c>
      <c r="E22" s="14">
        <v>41001</v>
      </c>
      <c r="F22" s="13">
        <v>3000</v>
      </c>
      <c r="G22" s="15">
        <v>0.16</v>
      </c>
      <c r="H22" s="78"/>
      <c r="I22" s="19"/>
      <c r="J22" s="13" t="s">
        <v>6</v>
      </c>
      <c r="K22" s="14">
        <f>WORKDAY(NC[[#This Row],[DATA]],1,0)</f>
        <v>41002</v>
      </c>
      <c r="L22" s="22">
        <f>EOMONTH(NC[[#This Row],[DATA DE LIQUIDAÇÃO]],0)</f>
        <v>41029</v>
      </c>
      <c r="M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2" s="15">
        <f>[QTDE]*[PREÇO]</f>
        <v>480</v>
      </c>
      <c r="O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P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Q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R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S22" s="15">
        <f>SETUP!$E$3 * IF([PARCIAL] &gt; 0, [QTDE] / [PARCIAL], 1)</f>
        <v>14.9</v>
      </c>
      <c r="T22" s="15">
        <f>SUMPRODUCT(N([DATA]=NC[[#This Row],[DATA]]),N([ID]&lt;=NC[[#This Row],[ID]]), [CORR])</f>
        <v>14.9</v>
      </c>
      <c r="U22" s="15">
        <f>TRUNC([CORRETAGEM]*SETUP!$F$3,2)</f>
        <v>0.28999999999999998</v>
      </c>
      <c r="V22" s="15">
        <f>ROUND([CORRETAGEM]*SETUP!$G$3,2)</f>
        <v>0.57999999999999996</v>
      </c>
      <c r="W22" s="15">
        <f>[VALOR LÍQUIDO DAS OPERAÇÕES]-[TAXA DE LIQUIDAÇÃO]-[EMOLUMENTOS]-[TAXA DE REGISTRO]-[CORRETAGEM]-[ISS]-IF(['[D/N']]="D",    0,    [OUTRAS BOVESPA]) - [AJUSTE]</f>
        <v>-496.4</v>
      </c>
      <c r="X22" s="15">
        <f>IF(AND(['[D/N']]="D",    [T]="CV",    [LÍQUIDO BASE] &gt; 0),    TRUNC([LÍQUIDO BASE]*0.01, 2),    0)</f>
        <v>0</v>
      </c>
      <c r="Y22" s="15">
        <f>IF([PREÇO] &gt; 0,    [LÍQUIDO BASE]-SUMPRODUCT(N([DATA]=NC[[#This Row],[DATA]]),    [IRRF FONTE]),    0)</f>
        <v>-496.4</v>
      </c>
      <c r="Z22" s="20">
        <f>[LÍQUIDO]-SUMPRODUCT(N([DATA]=NC[[#This Row],[DATA]]),N([ID]=(NC[[#This Row],[ID]]-1)),[LÍQUIDO])</f>
        <v>-496.4</v>
      </c>
      <c r="AA22" s="15">
        <f>IF([T] = "VC", ABS([VALOR OP]) / [QTDE], [VALOR OP]/[QTDE])</f>
        <v>-0.16546666666666665</v>
      </c>
      <c r="AB22" s="15">
        <f>TRUNC(IF(OR([T]="CV",[T]="VV"),     N22*SETUP!$H$3,     0),2)</f>
        <v>0</v>
      </c>
      <c r="AC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D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2" s="15">
        <f>IF([LUCRO TMP] &lt;&gt; 0, [LUCRO TMP] - SUMPRODUCT(N([ATIVO]=NC[[#This Row],[ATIVO]]),N(['[D/N']]="N"),N([ID]&lt;NC[[#This Row],[ID]]),N([PAR]=NC[[#This Row],[PAR]]), [LUCRO TMP]), 0)</f>
        <v>0</v>
      </c>
      <c r="AH22" s="15">
        <f>IF([U] = "U", SUMPRODUCT(N([ID]&lt;=NC[[#This Row],[ID]]),N([DATA BASE]=NC[[#This Row],[DATA BASE]]), N(['[D/N']] = "N"),    [LUCRO P/ OP]), 0)</f>
        <v>0</v>
      </c>
      <c r="AI22" s="15">
        <f>IF([U] = "U", SUMPRODUCT(N([DATA BASE]=NC[[#This Row],[DATA BASE]]), N(['[D/N']] = "D"),    [LUCRO P/ OP]), 0)</f>
        <v>0</v>
      </c>
      <c r="AJ22" s="15">
        <f>IF([U] = "U", SUMPRODUCT(N([DATA BASE]=NC[[#This Row],[DATA BASE]]), N(['[D/N']] = "D"),    [IRRF FONTE]), 0)</f>
        <v>0</v>
      </c>
    </row>
    <row r="23" spans="1:36" ht="11.25" customHeight="1">
      <c r="A23" s="13">
        <v>22</v>
      </c>
      <c r="B23" s="13"/>
      <c r="C23" s="13" t="s">
        <v>52</v>
      </c>
      <c r="D23" s="13" t="s">
        <v>25</v>
      </c>
      <c r="E23" s="14">
        <v>41002</v>
      </c>
      <c r="F23" s="13">
        <v>1900</v>
      </c>
      <c r="G23" s="15">
        <v>0.09</v>
      </c>
      <c r="H23" s="78"/>
      <c r="I23" s="19"/>
      <c r="J23" s="13" t="s">
        <v>6</v>
      </c>
      <c r="K23" s="14">
        <f>WORKDAY(NC[[#This Row],[DATA]],1,0)</f>
        <v>41003</v>
      </c>
      <c r="L23" s="22">
        <f>EOMONTH(NC[[#This Row],[DATA DE LIQUIDAÇÃO]],0)</f>
        <v>41029</v>
      </c>
      <c r="M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3" s="15">
        <f>[QTDE]*[PREÇO]</f>
        <v>171</v>
      </c>
      <c r="O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P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S23" s="15">
        <f>SETUP!$E$3 * IF([PARCIAL] &gt; 0, [QTDE] / [PARCIAL], 1)</f>
        <v>14.9</v>
      </c>
      <c r="T23" s="15">
        <f>SUMPRODUCT(N([DATA]=NC[[#This Row],[DATA]]),N([ID]&lt;=NC[[#This Row],[ID]]), [CORR])</f>
        <v>14.9</v>
      </c>
      <c r="U23" s="15">
        <f>TRUNC([CORRETAGEM]*SETUP!$F$3,2)</f>
        <v>0.28999999999999998</v>
      </c>
      <c r="V23" s="15">
        <f>ROUND([CORRETAGEM]*SETUP!$G$3,2)</f>
        <v>0.57999999999999996</v>
      </c>
      <c r="W23" s="15">
        <f>[VALOR LÍQUIDO DAS OPERAÇÕES]-[TAXA DE LIQUIDAÇÃO]-[EMOLUMENTOS]-[TAXA DE REGISTRO]-[CORRETAGEM]-[ISS]-IF(['[D/N']]="D",    0,    [OUTRAS BOVESPA]) - [AJUSTE]</f>
        <v>155.01999999999998</v>
      </c>
      <c r="X23" s="15">
        <f>IF(AND(['[D/N']]="D",    [T]="CV",    [LÍQUIDO BASE] &gt; 0),    TRUNC([LÍQUIDO BASE]*0.01, 2),    0)</f>
        <v>0</v>
      </c>
      <c r="Y23" s="15">
        <f>IF([PREÇO] &gt; 0,    [LÍQUIDO BASE]-SUMPRODUCT(N([DATA]=NC[[#This Row],[DATA]]),    [IRRF FONTE]),    0)</f>
        <v>155.01999999999998</v>
      </c>
      <c r="Z23" s="20">
        <f>[LÍQUIDO]-SUMPRODUCT(N([DATA]=NC[[#This Row],[DATA]]),N([ID]=(NC[[#This Row],[ID]]-1)),[LÍQUIDO])</f>
        <v>155.01999999999998</v>
      </c>
      <c r="AA23" s="15">
        <f>IF([T] = "VC", ABS([VALOR OP]) / [QTDE], [VALOR OP]/[QTDE])</f>
        <v>8.1589473684210517E-2</v>
      </c>
      <c r="AB23" s="15">
        <f>TRUNC(IF(OR([T]="CV",[T]="VV"),     N23*SETUP!$H$3,     0),2)</f>
        <v>0</v>
      </c>
      <c r="AC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E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F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G23" s="15">
        <f>IF([LUCRO TMP] &lt;&gt; 0, [LUCRO TMP] - SUMPRODUCT(N([ATIVO]=NC[[#This Row],[ATIVO]]),N(['[D/N']]="N"),N([ID]&lt;NC[[#This Row],[ID]]),N([PAR]=NC[[#This Row],[PAR]]), [LUCRO TMP]), 0)</f>
        <v>-317.37</v>
      </c>
      <c r="AH23" s="15">
        <f>IF([U] = "U", SUMPRODUCT(N([ID]&lt;=NC[[#This Row],[ID]]),N([DATA BASE]=NC[[#This Row],[DATA BASE]]), N(['[D/N']] = "N"),    [LUCRO P/ OP]), 0)</f>
        <v>0</v>
      </c>
      <c r="AI23" s="15">
        <f>IF([U] = "U", SUMPRODUCT(N([DATA BASE]=NC[[#This Row],[DATA BASE]]), N(['[D/N']] = "D"),    [LUCRO P/ OP]), 0)</f>
        <v>0</v>
      </c>
      <c r="AJ23" s="15">
        <f>IF([U] = "U", SUMPRODUCT(N([DATA BASE]=NC[[#This Row],[DATA BASE]]), N(['[D/N']] = "D"),    [IRRF FONTE]), 0)</f>
        <v>0</v>
      </c>
    </row>
    <row r="24" spans="1:36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78"/>
      <c r="I24" s="19"/>
      <c r="J24" s="13" t="s">
        <v>6</v>
      </c>
      <c r="K24" s="14">
        <f>WORKDAY(NC[[#This Row],[DATA]],1,0)</f>
        <v>41004</v>
      </c>
      <c r="L24" s="22">
        <f>EOMONTH(NC[[#This Row],[DATA DE LIQUIDAÇÃO]],0)</f>
        <v>41029</v>
      </c>
      <c r="M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24" s="15">
        <f>[QTDE]*[PREÇO]</f>
        <v>65</v>
      </c>
      <c r="O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P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24" s="15">
        <f>SETUP!$E$3 * IF([PARCIAL] &gt; 0, [QTDE] / [PARCIAL], 1)</f>
        <v>14.9</v>
      </c>
      <c r="T24" s="15">
        <f>SUMPRODUCT(N([DATA]=NC[[#This Row],[DATA]]),N([ID]&lt;=NC[[#This Row],[ID]]), [CORR])</f>
        <v>14.9</v>
      </c>
      <c r="U24" s="15">
        <f>TRUNC([CORRETAGEM]*SETUP!$F$3,2)</f>
        <v>0.28999999999999998</v>
      </c>
      <c r="V24" s="15">
        <f>ROUND([CORRETAGEM]*SETUP!$G$3,2)</f>
        <v>0.57999999999999996</v>
      </c>
      <c r="W24" s="15">
        <f>[VALOR LÍQUIDO DAS OPERAÇÕES]-[TAXA DE LIQUIDAÇÃO]-[EMOLUMENTOS]-[TAXA DE REGISTRO]-[CORRETAGEM]-[ISS]-IF(['[D/N']]="D",    0,    [OUTRAS BOVESPA]) - [AJUSTE]</f>
        <v>49.16</v>
      </c>
      <c r="X24" s="15">
        <f>IF(AND(['[D/N']]="D",    [T]="CV",    [LÍQUIDO BASE] &gt; 0),    TRUNC([LÍQUIDO BASE]*0.01, 2),    0)</f>
        <v>0</v>
      </c>
      <c r="Y24" s="15">
        <f>IF([PREÇO] &gt; 0,    [LÍQUIDO BASE]-SUMPRODUCT(N([DATA]=NC[[#This Row],[DATA]]),    [IRRF FONTE]),    0)</f>
        <v>49.16</v>
      </c>
      <c r="Z24" s="20">
        <f>[LÍQUIDO]-SUMPRODUCT(N([DATA]=NC[[#This Row],[DATA]]),N([ID]=(NC[[#This Row],[ID]]-1)),[LÍQUIDO])</f>
        <v>49.16</v>
      </c>
      <c r="AA24" s="15">
        <f>IF([T] = "VC", ABS([VALOR OP]) / [QTDE], [VALOR OP]/[QTDE])</f>
        <v>3.7815384615384612E-2</v>
      </c>
      <c r="AB24" s="15">
        <f>TRUNC(IF(OR([T]="CV",[T]="VV"),     N24*SETUP!$H$3,     0),2)</f>
        <v>0</v>
      </c>
      <c r="AC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E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F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G24" s="15">
        <f>IF([LUCRO TMP] &lt;&gt; 0, [LUCRO TMP] - SUMPRODUCT(N([ATIVO]=NC[[#This Row],[ATIVO]]),N(['[D/N']]="N"),N([ID]&lt;NC[[#This Row],[ID]]),N([PAR]=NC[[#This Row],[PAR]]), [LUCRO TMP]), 0)</f>
        <v>-511.19</v>
      </c>
      <c r="AH24" s="15">
        <f>IF([U] = "U", SUMPRODUCT(N([ID]&lt;=NC[[#This Row],[ID]]),N([DATA BASE]=NC[[#This Row],[DATA BASE]]), N(['[D/N']] = "N"),    [LUCRO P/ OP]), 0)</f>
        <v>0</v>
      </c>
      <c r="AI24" s="15">
        <f>IF([U] = "U", SUMPRODUCT(N([DATA BASE]=NC[[#This Row],[DATA BASE]]), N(['[D/N']] = "D"),    [LUCRO P/ OP]), 0)</f>
        <v>0</v>
      </c>
      <c r="AJ24" s="15">
        <f>IF([U] = "U", SUMPRODUCT(N([DATA BASE]=NC[[#This Row],[DATA BASE]]), N(['[D/N']] = "D"),    [IRRF FONTE]), 0)</f>
        <v>0</v>
      </c>
    </row>
    <row r="25" spans="1:36" ht="11.25" customHeight="1">
      <c r="A25" s="13">
        <v>24</v>
      </c>
      <c r="B25" s="13"/>
      <c r="C25" s="13" t="s">
        <v>54</v>
      </c>
      <c r="D25" s="13" t="s">
        <v>24</v>
      </c>
      <c r="E25" s="14">
        <v>41004</v>
      </c>
      <c r="F25" s="13">
        <v>800</v>
      </c>
      <c r="G25" s="15">
        <v>0.5</v>
      </c>
      <c r="H25" s="78"/>
      <c r="I25" s="19"/>
      <c r="J25" s="13" t="s">
        <v>6</v>
      </c>
      <c r="K25" s="14">
        <f>WORKDAY(NC[[#This Row],[DATA]],1,0)</f>
        <v>41005</v>
      </c>
      <c r="L25" s="22">
        <f>EOMONTH(NC[[#This Row],[DATA DE LIQUIDAÇÃO]],0)</f>
        <v>41029</v>
      </c>
      <c r="M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5" s="15">
        <f>[QTDE]*[PREÇO]</f>
        <v>400</v>
      </c>
      <c r="O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P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R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S25" s="15">
        <f>SETUP!$E$3 * IF([PARCIAL] &gt; 0, [QTDE] / [PARCIAL], 1)</f>
        <v>14.9</v>
      </c>
      <c r="T25" s="15">
        <f>SUMPRODUCT(N([DATA]=NC[[#This Row],[DATA]]),N([ID]&lt;=NC[[#This Row],[ID]]), [CORR])</f>
        <v>14.9</v>
      </c>
      <c r="U25" s="15">
        <f>TRUNC([CORRETAGEM]*SETUP!$F$3,2)</f>
        <v>0.28999999999999998</v>
      </c>
      <c r="V25" s="15">
        <f>ROUND([CORRETAGEM]*SETUP!$G$3,2)</f>
        <v>0.57999999999999996</v>
      </c>
      <c r="W25" s="15">
        <f>[VALOR LÍQUIDO DAS OPERAÇÕES]-[TAXA DE LIQUIDAÇÃO]-[EMOLUMENTOS]-[TAXA DE REGISTRO]-[CORRETAGEM]-[ISS]-IF(['[D/N']]="D",    0,    [OUTRAS BOVESPA]) - [AJUSTE]</f>
        <v>-416.28999999999996</v>
      </c>
      <c r="X25" s="15">
        <f>IF(AND(['[D/N']]="D",    [T]="CV",    [LÍQUIDO BASE] &gt; 0),    TRUNC([LÍQUIDO BASE]*0.01, 2),    0)</f>
        <v>0</v>
      </c>
      <c r="Y25" s="15">
        <f>IF([PREÇO] &gt; 0,    [LÍQUIDO BASE]-SUMPRODUCT(N([DATA]=NC[[#This Row],[DATA]]),    [IRRF FONTE]),    0)</f>
        <v>-416.28999999999996</v>
      </c>
      <c r="Z25" s="20">
        <f>[LÍQUIDO]-SUMPRODUCT(N([DATA]=NC[[#This Row],[DATA]]),N([ID]=(NC[[#This Row],[ID]]-1)),[LÍQUIDO])</f>
        <v>-416.28999999999996</v>
      </c>
      <c r="AA25" s="15">
        <f>IF([T] = "VC", ABS([VALOR OP]) / [QTDE], [VALOR OP]/[QTDE])</f>
        <v>-0.52036249999999995</v>
      </c>
      <c r="AB25" s="15">
        <f>TRUNC(IF(OR([T]="CV",[T]="VV"),     N25*SETUP!$H$3,     0),2)</f>
        <v>0</v>
      </c>
      <c r="AC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D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5" s="15">
        <f>IF([LUCRO TMP] &lt;&gt; 0, [LUCRO TMP] - SUMPRODUCT(N([ATIVO]=NC[[#This Row],[ATIVO]]),N(['[D/N']]="N"),N([ID]&lt;NC[[#This Row],[ID]]),N([PAR]=NC[[#This Row],[PAR]]), [LUCRO TMP]), 0)</f>
        <v>0</v>
      </c>
      <c r="AH25" s="15">
        <f>IF([U] = "U", SUMPRODUCT(N([ID]&lt;=NC[[#This Row],[ID]]),N([DATA BASE]=NC[[#This Row],[DATA BASE]]), N(['[D/N']] = "N"),    [LUCRO P/ OP]), 0)</f>
        <v>0</v>
      </c>
      <c r="AI25" s="15">
        <f>IF([U] = "U", SUMPRODUCT(N([DATA BASE]=NC[[#This Row],[DATA BASE]]), N(['[D/N']] = "D"),    [LUCRO P/ OP]), 0)</f>
        <v>0</v>
      </c>
      <c r="AJ25" s="15">
        <f>IF([U] = "U", SUMPRODUCT(N([DATA BASE]=NC[[#This Row],[DATA BASE]]), N(['[D/N']] = "D"),    [IRRF FONTE]), 0)</f>
        <v>0</v>
      </c>
    </row>
    <row r="26" spans="1:36" ht="11.25" customHeight="1">
      <c r="A26" s="13">
        <v>25</v>
      </c>
      <c r="B26" s="13"/>
      <c r="C26" s="13" t="s">
        <v>54</v>
      </c>
      <c r="D26" s="13" t="s">
        <v>25</v>
      </c>
      <c r="E26" s="14">
        <v>41010</v>
      </c>
      <c r="F26" s="13">
        <v>800</v>
      </c>
      <c r="G26" s="15">
        <v>1</v>
      </c>
      <c r="H26" s="78"/>
      <c r="I26" s="19"/>
      <c r="J26" s="13" t="s">
        <v>6</v>
      </c>
      <c r="K26" s="14">
        <f>WORKDAY(NC[[#This Row],[DATA]],1,0)</f>
        <v>41011</v>
      </c>
      <c r="L26" s="22">
        <f>EOMONTH(NC[[#This Row],[DATA DE LIQUIDAÇÃO]],0)</f>
        <v>41029</v>
      </c>
      <c r="M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6" s="15">
        <f>[QTDE]*[PREÇO]</f>
        <v>800</v>
      </c>
      <c r="O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P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Q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R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S26" s="15">
        <f>SETUP!$E$3 * IF([PARCIAL] &gt; 0, [QTDE] / [PARCIAL], 1)</f>
        <v>14.9</v>
      </c>
      <c r="T26" s="15">
        <f>SUMPRODUCT(N([DATA]=NC[[#This Row],[DATA]]),N([ID]&lt;=NC[[#This Row],[ID]]), [CORR])</f>
        <v>14.9</v>
      </c>
      <c r="U26" s="15">
        <f>TRUNC([CORRETAGEM]*SETUP!$F$3,2)</f>
        <v>0.28999999999999998</v>
      </c>
      <c r="V26" s="15">
        <f>ROUND([CORRETAGEM]*SETUP!$G$3,2)</f>
        <v>0.57999999999999996</v>
      </c>
      <c r="W26" s="15">
        <f>[VALOR LÍQUIDO DAS OPERAÇÕES]-[TAXA DE LIQUIDAÇÃO]-[EMOLUMENTOS]-[TAXA DE REGISTRO]-[CORRETAGEM]-[ISS]-IF(['[D/N']]="D",    0,    [OUTRAS BOVESPA]) - [AJUSTE]</f>
        <v>783.17000000000007</v>
      </c>
      <c r="X26" s="15">
        <f>IF(AND(['[D/N']]="D",    [T]="CV",    [LÍQUIDO BASE] &gt; 0),    TRUNC([LÍQUIDO BASE]*0.01, 2),    0)</f>
        <v>0</v>
      </c>
      <c r="Y26" s="15">
        <f>IF([PREÇO] &gt; 0,    [LÍQUIDO BASE]-SUMPRODUCT(N([DATA]=NC[[#This Row],[DATA]]),    [IRRF FONTE]),    0)</f>
        <v>783.17000000000007</v>
      </c>
      <c r="Z26" s="20">
        <f>[LÍQUIDO]-SUMPRODUCT(N([DATA]=NC[[#This Row],[DATA]]),N([ID]=(NC[[#This Row],[ID]]-1)),[LÍQUIDO])</f>
        <v>783.17000000000007</v>
      </c>
      <c r="AA26" s="15">
        <f>IF([T] = "VC", ABS([VALOR OP]) / [QTDE], [VALOR OP]/[QTDE])</f>
        <v>0.97896250000000007</v>
      </c>
      <c r="AB26" s="15">
        <f>TRUNC(IF(OR([T]="CV",[T]="VV"),     N26*SETUP!$H$3,     0),2)</f>
        <v>0.04</v>
      </c>
      <c r="AC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E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F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G26" s="15">
        <f>IF([LUCRO TMP] &lt;&gt; 0, [LUCRO TMP] - SUMPRODUCT(N([ATIVO]=NC[[#This Row],[ATIVO]]),N(['[D/N']]="N"),N([ID]&lt;NC[[#This Row],[ID]]),N([PAR]=NC[[#This Row],[PAR]]), [LUCRO TMP]), 0)</f>
        <v>366.88000000000011</v>
      </c>
      <c r="AH26" s="15">
        <f>IF([U] = "U", SUMPRODUCT(N([ID]&lt;=NC[[#This Row],[ID]]),N([DATA BASE]=NC[[#This Row],[DATA BASE]]), N(['[D/N']] = "N"),    [LUCRO P/ OP]), 0)</f>
        <v>0</v>
      </c>
      <c r="AI26" s="15">
        <f>IF([U] = "U", SUMPRODUCT(N([DATA BASE]=NC[[#This Row],[DATA BASE]]), N(['[D/N']] = "D"),    [LUCRO P/ OP]), 0)</f>
        <v>0</v>
      </c>
      <c r="AJ26" s="15">
        <f>IF([U] = "U", SUMPRODUCT(N([DATA BASE]=NC[[#This Row],[DATA BASE]]), N(['[D/N']] = "D"),    [IRRF FONTE]), 0)</f>
        <v>0</v>
      </c>
    </row>
    <row r="27" spans="1:36" ht="11.25" customHeight="1">
      <c r="A27" s="13">
        <v>26</v>
      </c>
      <c r="B27" s="13"/>
      <c r="C27" s="13" t="s">
        <v>51</v>
      </c>
      <c r="D27" s="13" t="s">
        <v>25</v>
      </c>
      <c r="E27" s="14">
        <v>41016</v>
      </c>
      <c r="F27" s="13">
        <v>3000</v>
      </c>
      <c r="G27" s="15">
        <v>0</v>
      </c>
      <c r="H27" s="78"/>
      <c r="I27" s="19"/>
      <c r="J27" s="13" t="s">
        <v>6</v>
      </c>
      <c r="K27" s="14">
        <f>WORKDAY(NC[[#This Row],[DATA]],1,0)</f>
        <v>41017</v>
      </c>
      <c r="L27" s="22">
        <f>EOMONTH(NC[[#This Row],[DATA DE LIQUIDAÇÃO]],0)</f>
        <v>41029</v>
      </c>
      <c r="M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27" s="15">
        <f>[QTDE]*[PREÇO]</f>
        <v>0</v>
      </c>
      <c r="O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27" s="15">
        <f>SETUP!$E$3 * IF([PARCIAL] &gt; 0, [QTDE] / [PARCIAL], 1)</f>
        <v>14.9</v>
      </c>
      <c r="T27" s="15">
        <f>SUMPRODUCT(N([DATA]=NC[[#This Row],[DATA]]),N([ID]&lt;=NC[[#This Row],[ID]]), [CORR])</f>
        <v>14.9</v>
      </c>
      <c r="U27" s="15">
        <f>TRUNC([CORRETAGEM]*SETUP!$F$3,2)</f>
        <v>0.28999999999999998</v>
      </c>
      <c r="V27" s="15">
        <f>ROUND([CORRETAGEM]*SETUP!$G$3,2)</f>
        <v>0.57999999999999996</v>
      </c>
      <c r="W27" s="15">
        <f>[VALOR LÍQUIDO DAS OPERAÇÕES]-[TAXA DE LIQUIDAÇÃO]-[EMOLUMENTOS]-[TAXA DE REGISTRO]-[CORRETAGEM]-[ISS]-IF(['[D/N']]="D",    0,    [OUTRAS BOVESPA]) - [AJUSTE]</f>
        <v>-15.77</v>
      </c>
      <c r="X27" s="15">
        <f>IF(AND(['[D/N']]="D",    [T]="CV",    [LÍQUIDO BASE] &gt; 0),    TRUNC([LÍQUIDO BASE]*0.01, 2),    0)</f>
        <v>0</v>
      </c>
      <c r="Y27" s="15">
        <f>IF([PREÇO] &gt; 0,    [LÍQUIDO BASE]-SUMPRODUCT(N([DATA]=NC[[#This Row],[DATA]]),    [IRRF FONTE]),    0)</f>
        <v>0</v>
      </c>
      <c r="Z27" s="20">
        <f>[LÍQUIDO]-SUMPRODUCT(N([DATA]=NC[[#This Row],[DATA]]),N([ID]=(NC[[#This Row],[ID]]-1)),[LÍQUIDO])</f>
        <v>0</v>
      </c>
      <c r="AA27" s="15">
        <f>IF([T] = "VC", ABS([VALOR OP]) / [QTDE], [VALOR OP]/[QTDE])</f>
        <v>0</v>
      </c>
      <c r="AB27" s="15">
        <f>TRUNC(IF(OR([T]="CV",[T]="VV"),     N27*SETUP!$H$3,     0),2)</f>
        <v>0</v>
      </c>
      <c r="AC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E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G27" s="15">
        <f>IF([LUCRO TMP] &lt;&gt; 0, [LUCRO TMP] - SUMPRODUCT(N([ATIVO]=NC[[#This Row],[ATIVO]]),N(['[D/N']]="N"),N([ID]&lt;NC[[#This Row],[ID]]),N([PAR]=NC[[#This Row],[PAR]]), [LUCRO TMP]), 0)</f>
        <v>-496.4</v>
      </c>
      <c r="AH27" s="15">
        <f>IF([U] = "U", SUMPRODUCT(N([ID]&lt;=NC[[#This Row],[ID]]),N([DATA BASE]=NC[[#This Row],[DATA BASE]]), N(['[D/N']] = "N"),    [LUCRO P/ OP]), 0)</f>
        <v>0</v>
      </c>
      <c r="AI27" s="15">
        <f>IF([U] = "U", SUMPRODUCT(N([DATA BASE]=NC[[#This Row],[DATA BASE]]), N(['[D/N']] = "D"),    [LUCRO P/ OP]), 0)</f>
        <v>0</v>
      </c>
      <c r="AJ27" s="15">
        <f>IF([U] = "U", SUMPRODUCT(N([DATA BASE]=NC[[#This Row],[DATA BASE]]), N(['[D/N']] = "D"),    [IRRF FONTE]), 0)</f>
        <v>0</v>
      </c>
    </row>
    <row r="28" spans="1:36" ht="11.25" customHeight="1">
      <c r="A28" s="13">
        <v>27</v>
      </c>
      <c r="B28" s="30"/>
      <c r="C28" s="55" t="s">
        <v>64</v>
      </c>
      <c r="D28" s="30" t="s">
        <v>24</v>
      </c>
      <c r="E28" s="31">
        <v>41022</v>
      </c>
      <c r="F28" s="30">
        <v>100</v>
      </c>
      <c r="G28" s="29">
        <v>0.75</v>
      </c>
      <c r="H28" s="79"/>
      <c r="I28" s="35"/>
      <c r="J28" s="30" t="s">
        <v>6</v>
      </c>
      <c r="K28" s="31">
        <f>WORKDAY(NC[[#This Row],[DATA]],1,0)</f>
        <v>41023</v>
      </c>
      <c r="L28" s="32">
        <f>EOMONTH(NC[[#This Row],[DATA DE LIQUIDAÇÃO]],0)</f>
        <v>41029</v>
      </c>
      <c r="M28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8" s="29">
        <f>[QTDE]*[PREÇO]</f>
        <v>75</v>
      </c>
      <c r="O28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P28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28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28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S28" s="29">
        <f>SETUP!$E$3 * IF([PARCIAL] &gt; 0, [QTDE] / [PARCIAL], 1)</f>
        <v>14.9</v>
      </c>
      <c r="T28" s="29">
        <f>SUMPRODUCT(N([DATA]=NC[[#This Row],[DATA]]),N([ID]&lt;=NC[[#This Row],[ID]]), [CORR])</f>
        <v>14.9</v>
      </c>
      <c r="U28" s="29">
        <f>TRUNC([CORRETAGEM]*SETUP!$F$3,2)</f>
        <v>0.28999999999999998</v>
      </c>
      <c r="V28" s="29">
        <f>ROUND([CORRETAGEM]*SETUP!$G$3,2)</f>
        <v>0.57999999999999996</v>
      </c>
      <c r="W28" s="29">
        <f>[VALOR LÍQUIDO DAS OPERAÇÕES]-[TAXA DE LIQUIDAÇÃO]-[EMOLUMENTOS]-[TAXA DE REGISTRO]-[CORRETAGEM]-[ISS]-IF(['[D/N']]="D",    0,    [OUTRAS BOVESPA]) - [AJUSTE]</f>
        <v>-90.86</v>
      </c>
      <c r="X28" s="29">
        <f>IF(AND(['[D/N']]="D",    [T]="CV",    [LÍQUIDO BASE] &gt; 0),    TRUNC([LÍQUIDO BASE]*0.01, 2),    0)</f>
        <v>0</v>
      </c>
      <c r="Y28" s="15">
        <f>IF([PREÇO] &gt; 0,    [LÍQUIDO BASE]-SUMPRODUCT(N([DATA]=NC[[#This Row],[DATA]]),    [IRRF FONTE]),    0)</f>
        <v>-90.86</v>
      </c>
      <c r="Z28" s="33">
        <f>[LÍQUIDO]-SUMPRODUCT(N([DATA]=NC[[#This Row],[DATA]]),N([ID]=(NC[[#This Row],[ID]]-1)),[LÍQUIDO])</f>
        <v>-90.86</v>
      </c>
      <c r="AA28" s="29">
        <f>IF([T] = "VC", ABS([VALOR OP]) / [QTDE], [VALOR OP]/[QTDE])</f>
        <v>-0.90859999999999996</v>
      </c>
      <c r="AB28" s="29">
        <f>TRUNC(IF(OR([T]="CV",[T]="VV"),     N28*SETUP!$H$3,     0),2)</f>
        <v>0</v>
      </c>
      <c r="AC28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28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28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28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8" s="29">
        <f>IF([LUCRO TMP] &lt;&gt; 0, [LUCRO TMP] - SUMPRODUCT(N([ATIVO]=NC[[#This Row],[ATIVO]]),N(['[D/N']]="N"),N([ID]&lt;NC[[#This Row],[ID]]),N([PAR]=NC[[#This Row],[PAR]]), [LUCRO TMP]), 0)</f>
        <v>0</v>
      </c>
      <c r="AH28" s="29">
        <f>IF([U] = "U", SUMPRODUCT(N([ID]&lt;=NC[[#This Row],[ID]]),N([DATA BASE]=NC[[#This Row],[DATA BASE]]), N(['[D/N']] = "N"),    [LUCRO P/ OP]), 0)</f>
        <v>0</v>
      </c>
      <c r="AI28" s="29">
        <f>IF([U] = "U", SUMPRODUCT(N([DATA BASE]=NC[[#This Row],[DATA BASE]]), N(['[D/N']] = "D"),    [LUCRO P/ OP]), 0)</f>
        <v>0</v>
      </c>
      <c r="AJ28" s="15">
        <f>IF([U] = "U", SUMPRODUCT(N([DATA BASE]=NC[[#This Row],[DATA BASE]]), N(['[D/N']] = "D"),    [IRRF FONTE]), 0)</f>
        <v>0</v>
      </c>
    </row>
    <row r="29" spans="1:36" ht="11.25" customHeight="1">
      <c r="A29" s="13">
        <v>28</v>
      </c>
      <c r="B29" s="30"/>
      <c r="C29" s="55" t="s">
        <v>65</v>
      </c>
      <c r="D29" s="30" t="s">
        <v>66</v>
      </c>
      <c r="E29" s="31">
        <v>41022</v>
      </c>
      <c r="F29" s="30">
        <v>100</v>
      </c>
      <c r="G29" s="29">
        <v>1.93</v>
      </c>
      <c r="H29" s="79"/>
      <c r="I29" s="35"/>
      <c r="J29" s="30" t="s">
        <v>6</v>
      </c>
      <c r="K29" s="31">
        <f>WORKDAY(NC[[#This Row],[DATA]],1,0)</f>
        <v>41023</v>
      </c>
      <c r="L29" s="32">
        <f>EOMONTH(NC[[#This Row],[DATA DE LIQUIDAÇÃO]],0)</f>
        <v>41029</v>
      </c>
      <c r="M29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29" s="29">
        <f>[QTDE]*[PREÇO]</f>
        <v>193</v>
      </c>
      <c r="O29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P29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Q29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R29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S29" s="29">
        <f>SETUP!$E$3 * IF([PARCIAL] &gt; 0, [QTDE] / [PARCIAL], 1)</f>
        <v>14.9</v>
      </c>
      <c r="T29" s="29">
        <f>SUMPRODUCT(N([DATA]=NC[[#This Row],[DATA]]),N([ID]&lt;=NC[[#This Row],[ID]]), [CORR])</f>
        <v>29.8</v>
      </c>
      <c r="U29" s="29">
        <f>TRUNC([CORRETAGEM]*SETUP!$F$3,2)</f>
        <v>0.59</v>
      </c>
      <c r="V29" s="29">
        <f>ROUND([CORRETAGEM]*SETUP!$G$3,2)</f>
        <v>1.1599999999999999</v>
      </c>
      <c r="W29" s="29">
        <f>[VALOR LÍQUIDO DAS OPERAÇÕES]-[TAXA DE LIQUIDAÇÃO]-[EMOLUMENTOS]-[TAXA DE REGISTRO]-[CORRETAGEM]-[ISS]-IF(['[D/N']]="D",    0,    [OUTRAS BOVESPA]) - [AJUSTE]</f>
        <v>86.11</v>
      </c>
      <c r="X29" s="29">
        <f>IF(AND(['[D/N']]="D",    [T]="CV",    [LÍQUIDO BASE] &gt; 0),    TRUNC([LÍQUIDO BASE]*0.01, 2),    0)</f>
        <v>0</v>
      </c>
      <c r="Y29" s="15">
        <f>IF([PREÇO] &gt; 0,    [LÍQUIDO BASE]-SUMPRODUCT(N([DATA]=NC[[#This Row],[DATA]]),    [IRRF FONTE]),    0)</f>
        <v>86.11</v>
      </c>
      <c r="Z29" s="33">
        <f>[LÍQUIDO]-SUMPRODUCT(N([DATA]=NC[[#This Row],[DATA]]),N([ID]=(NC[[#This Row],[ID]]-1)),[LÍQUIDO])</f>
        <v>176.97</v>
      </c>
      <c r="AA29" s="29">
        <f>IF([T] = "VC", ABS([VALOR OP]) / [QTDE], [VALOR OP]/[QTDE])</f>
        <v>1.7697000000000001</v>
      </c>
      <c r="AB29" s="29">
        <f>TRUNC(IF(OR([T]="CV",[T]="VV"),     N29*SETUP!$H$3,     0),2)</f>
        <v>0</v>
      </c>
      <c r="AC29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29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29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29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29" s="29">
        <f>IF([LUCRO TMP] &lt;&gt; 0, [LUCRO TMP] - SUMPRODUCT(N([ATIVO]=NC[[#This Row],[ATIVO]]),N(['[D/N']]="N"),N([ID]&lt;NC[[#This Row],[ID]]),N([PAR]=NC[[#This Row],[PAR]]), [LUCRO TMP]), 0)</f>
        <v>0</v>
      </c>
      <c r="AH29" s="29">
        <f>IF([U] = "U", SUMPRODUCT(N([ID]&lt;=NC[[#This Row],[ID]]),N([DATA BASE]=NC[[#This Row],[DATA BASE]]), N(['[D/N']] = "N"),    [LUCRO P/ OP]), 0)</f>
        <v>0</v>
      </c>
      <c r="AI29" s="29">
        <f>IF([U] = "U", SUMPRODUCT(N([DATA BASE]=NC[[#This Row],[DATA BASE]]), N(['[D/N']] = "D"),    [LUCRO P/ OP]), 0)</f>
        <v>0</v>
      </c>
      <c r="AJ29" s="15">
        <f>IF([U] = "U", SUMPRODUCT(N([DATA BASE]=NC[[#This Row],[DATA BASE]]), N(['[D/N']] = "D"),    [IRRF FONTE]), 0)</f>
        <v>0</v>
      </c>
    </row>
    <row r="30" spans="1:36" ht="11.25" customHeight="1">
      <c r="A30" s="13">
        <v>29</v>
      </c>
      <c r="B30" s="30" t="s">
        <v>49</v>
      </c>
      <c r="C30" s="30" t="s">
        <v>59</v>
      </c>
      <c r="D30" s="30" t="s">
        <v>24</v>
      </c>
      <c r="E30" s="31">
        <v>41026</v>
      </c>
      <c r="F30" s="30">
        <v>300</v>
      </c>
      <c r="G30" s="29">
        <v>0.32</v>
      </c>
      <c r="H30" s="79"/>
      <c r="I30" s="35"/>
      <c r="J30" s="30" t="s">
        <v>6</v>
      </c>
      <c r="K30" s="31">
        <f>WORKDAY(NC[[#This Row],[DATA]],1,0)</f>
        <v>41029</v>
      </c>
      <c r="L30" s="32">
        <f>EOMONTH(NC[[#This Row],[DATA DE LIQUIDAÇÃO]],0)</f>
        <v>41029</v>
      </c>
      <c r="M30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0" s="29">
        <f>[QTDE]*[PREÇO]</f>
        <v>96</v>
      </c>
      <c r="O30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P30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0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0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S30" s="29">
        <f>SETUP!$E$3 * IF([PARCIAL] &gt; 0, [QTDE] / [PARCIAL], 1)</f>
        <v>14.9</v>
      </c>
      <c r="T30" s="29">
        <f>SUMPRODUCT(N([DATA]=NC[[#This Row],[DATA]]),N([ID]&lt;=NC[[#This Row],[ID]]), [CORR])</f>
        <v>14.9</v>
      </c>
      <c r="U30" s="29">
        <f>TRUNC([CORRETAGEM]*SETUP!$F$3,2)</f>
        <v>0.28999999999999998</v>
      </c>
      <c r="V30" s="29">
        <f>ROUND([CORRETAGEM]*SETUP!$G$3,2)</f>
        <v>0.57999999999999996</v>
      </c>
      <c r="W30" s="29">
        <f>[VALOR LÍQUIDO DAS OPERAÇÕES]-[TAXA DE LIQUIDAÇÃO]-[EMOLUMENTOS]-[TAXA DE REGISTRO]-[CORRETAGEM]-[ISS]-IF(['[D/N']]="D",    0,    [OUTRAS BOVESPA]) - [AJUSTE]</f>
        <v>-111.88000000000001</v>
      </c>
      <c r="X30" s="29">
        <f>IF(AND(['[D/N']]="D",    [T]="CV",    [LÍQUIDO BASE] &gt; 0),    TRUNC([LÍQUIDO BASE]*0.01, 2),    0)</f>
        <v>0</v>
      </c>
      <c r="Y30" s="15">
        <f>IF([PREÇO] &gt; 0,    [LÍQUIDO BASE]-SUMPRODUCT(N([DATA]=NC[[#This Row],[DATA]]),    [IRRF FONTE]),    0)</f>
        <v>-111.88000000000001</v>
      </c>
      <c r="Z30" s="33">
        <f>[LÍQUIDO]-SUMPRODUCT(N([DATA]=NC[[#This Row],[DATA]]),N([ID]=(NC[[#This Row],[ID]]-1)),[LÍQUIDO])</f>
        <v>-111.88000000000001</v>
      </c>
      <c r="AA30" s="29">
        <f>IF([T] = "VC", ABS([VALOR OP]) / [QTDE], [VALOR OP]/[QTDE])</f>
        <v>-0.37293333333333334</v>
      </c>
      <c r="AB30" s="29">
        <f>TRUNC(IF(OR([T]="CV",[T]="VV"),     N30*SETUP!$H$3,     0),2)</f>
        <v>0</v>
      </c>
      <c r="AC30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D30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0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0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0" s="29">
        <f>IF([LUCRO TMP] &lt;&gt; 0, [LUCRO TMP] - SUMPRODUCT(N([ATIVO]=NC[[#This Row],[ATIVO]]),N(['[D/N']]="N"),N([ID]&lt;NC[[#This Row],[ID]]),N([PAR]=NC[[#This Row],[PAR]]), [LUCRO TMP]), 0)</f>
        <v>0</v>
      </c>
      <c r="AH30" s="29">
        <f>IF([U] = "U", SUMPRODUCT(N([ID]&lt;=NC[[#This Row],[ID]]),N([DATA BASE]=NC[[#This Row],[DATA BASE]]), N(['[D/N']] = "N"),    [LUCRO P/ OP]), 0)</f>
        <v>-958.07999999999981</v>
      </c>
      <c r="AI30" s="29">
        <f>IF([U] = "U", SUMPRODUCT(N([DATA BASE]=NC[[#This Row],[DATA BASE]]), N(['[D/N']] = "D"),    [LUCRO P/ OP]), 0)</f>
        <v>0</v>
      </c>
      <c r="AJ30" s="15">
        <f>IF([U] = "U", SUMPRODUCT(N([DATA BASE]=NC[[#This Row],[DATA BASE]]), N(['[D/N']] = "D"),    [IRRF FONTE]), 0)</f>
        <v>0</v>
      </c>
    </row>
    <row r="31" spans="1:36" ht="11.25" customHeight="1">
      <c r="A31" s="13">
        <v>30</v>
      </c>
      <c r="B31" s="13"/>
      <c r="C31" s="13" t="s">
        <v>59</v>
      </c>
      <c r="D31" s="13" t="s">
        <v>25</v>
      </c>
      <c r="E31" s="14">
        <v>41031</v>
      </c>
      <c r="F31" s="13">
        <v>300</v>
      </c>
      <c r="G31" s="15">
        <v>0.64</v>
      </c>
      <c r="H31" s="78"/>
      <c r="I31" s="19"/>
      <c r="J31" s="13" t="s">
        <v>6</v>
      </c>
      <c r="K31" s="14">
        <f>WORKDAY(NC[[#This Row],[DATA]],1,0)</f>
        <v>41032</v>
      </c>
      <c r="L31" s="22">
        <f>EOMONTH(NC[[#This Row],[DATA DE LIQUIDAÇÃO]],0)</f>
        <v>41060</v>
      </c>
      <c r="M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1" s="15">
        <f>[QTDE]*[PREÇO]</f>
        <v>192</v>
      </c>
      <c r="O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P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R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S31" s="15">
        <f>SETUP!$E$3 * IF([PARCIAL] &gt; 0, [QTDE] / [PARCIAL], 1)</f>
        <v>14.9</v>
      </c>
      <c r="T31" s="15">
        <f>SUMPRODUCT(N([DATA]=NC[[#This Row],[DATA]]),N([ID]&lt;=NC[[#This Row],[ID]]), [CORR])</f>
        <v>14.9</v>
      </c>
      <c r="U31" s="15">
        <f>TRUNC([CORRETAGEM]*SETUP!$F$3,2)</f>
        <v>0.28999999999999998</v>
      </c>
      <c r="V31" s="15">
        <f>ROUND([CORRETAGEM]*SETUP!$G$3,2)</f>
        <v>0.57999999999999996</v>
      </c>
      <c r="W31" s="15">
        <f>[VALOR LÍQUIDO DAS OPERAÇÕES]-[TAXA DE LIQUIDAÇÃO]-[EMOLUMENTOS]-[TAXA DE REGISTRO]-[CORRETAGEM]-[ISS]-IF(['[D/N']]="D",    0,    [OUTRAS BOVESPA]) - [AJUSTE]</f>
        <v>175.98</v>
      </c>
      <c r="X31" s="15">
        <f>IF(AND(['[D/N']]="D",    [T]="CV",    [LÍQUIDO BASE] &gt; 0),    TRUNC([LÍQUIDO BASE]*0.01, 2),    0)</f>
        <v>0</v>
      </c>
      <c r="Y31" s="15">
        <f>IF([PREÇO] &gt; 0,    [LÍQUIDO BASE]-SUMPRODUCT(N([DATA]=NC[[#This Row],[DATA]]),    [IRRF FONTE]),    0)</f>
        <v>175.98</v>
      </c>
      <c r="Z31" s="20">
        <f>[LÍQUIDO]-SUMPRODUCT(N([DATA]=NC[[#This Row],[DATA]]),N([ID]=(NC[[#This Row],[ID]]-1)),[LÍQUIDO])</f>
        <v>175.98</v>
      </c>
      <c r="AA31" s="15">
        <f>IF([T] = "VC", ABS([VALOR OP]) / [QTDE], [VALOR OP]/[QTDE])</f>
        <v>0.58660000000000001</v>
      </c>
      <c r="AB31" s="15">
        <f>TRUNC(IF(OR([T]="CV",[T]="VV"),     N31*SETUP!$H$3,     0),2)</f>
        <v>0</v>
      </c>
      <c r="AC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E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F3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G31" s="15">
        <f>IF([LUCRO TMP] &lt;&gt; 0, [LUCRO TMP] - SUMPRODUCT(N([ATIVO]=NC[[#This Row],[ATIVO]]),N(['[D/N']]="N"),N([ID]&lt;NC[[#This Row],[ID]]),N([PAR]=NC[[#This Row],[PAR]]), [LUCRO TMP]), 0)</f>
        <v>64.099999999999994</v>
      </c>
      <c r="AH31" s="15">
        <f>IF([U] = "U", SUMPRODUCT(N([ID]&lt;=NC[[#This Row],[ID]]),N([DATA BASE]=NC[[#This Row],[DATA BASE]]), N(['[D/N']] = "N"),    [LUCRO P/ OP]), 0)</f>
        <v>0</v>
      </c>
      <c r="AI31" s="15">
        <f>IF([U] = "U", SUMPRODUCT(N([DATA BASE]=NC[[#This Row],[DATA BASE]]), N(['[D/N']] = "D"),    [LUCRO P/ OP]), 0)</f>
        <v>0</v>
      </c>
      <c r="AJ31" s="15">
        <f>IF([U] = "U", SUMPRODUCT(N([DATA BASE]=NC[[#This Row],[DATA BASE]]), N(['[D/N']] = "D"),    [IRRF FONTE]), 0)</f>
        <v>0</v>
      </c>
    </row>
    <row r="32" spans="1:36" ht="11.25" customHeight="1">
      <c r="A32" s="13">
        <v>31</v>
      </c>
      <c r="B32" s="13"/>
      <c r="C32" s="13" t="s">
        <v>76</v>
      </c>
      <c r="D32" s="13" t="s">
        <v>24</v>
      </c>
      <c r="E32" s="14">
        <v>41032</v>
      </c>
      <c r="F32" s="13">
        <v>400</v>
      </c>
      <c r="G32" s="15">
        <v>0.27</v>
      </c>
      <c r="H32" s="78"/>
      <c r="I32" s="19"/>
      <c r="J32" s="13" t="s">
        <v>6</v>
      </c>
      <c r="K32" s="14">
        <f>WORKDAY(NC[[#This Row],[DATA]],1,0)</f>
        <v>41033</v>
      </c>
      <c r="L32" s="22">
        <f>EOMONTH(NC[[#This Row],[DATA DE LIQUIDAÇÃO]],0)</f>
        <v>41060</v>
      </c>
      <c r="M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2" s="15">
        <f>[QTDE]*[PREÇO]</f>
        <v>108</v>
      </c>
      <c r="O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P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Q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R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32" s="15">
        <f>SETUP!$E$3 * IF([PARCIAL] &gt; 0, [QTDE] / [PARCIAL], 1)</f>
        <v>14.9</v>
      </c>
      <c r="T32" s="15">
        <f>SUMPRODUCT(N([DATA]=NC[[#This Row],[DATA]]),N([ID]&lt;=NC[[#This Row],[ID]]), [CORR])</f>
        <v>14.9</v>
      </c>
      <c r="U32" s="15">
        <f>TRUNC([CORRETAGEM]*SETUP!$F$3,2)</f>
        <v>0.28999999999999998</v>
      </c>
      <c r="V32" s="15">
        <f>ROUND([CORRETAGEM]*SETUP!$G$3,2)</f>
        <v>0.57999999999999996</v>
      </c>
      <c r="W32" s="15">
        <f>[VALOR LÍQUIDO DAS OPERAÇÕES]-[TAXA DE LIQUIDAÇÃO]-[EMOLUMENTOS]-[TAXA DE REGISTRO]-[CORRETAGEM]-[ISS]-IF(['[D/N']]="D",    0,    [OUTRAS BOVESPA]) - [AJUSTE]</f>
        <v>-123.89</v>
      </c>
      <c r="X32" s="15">
        <f>IF(AND(['[D/N']]="D",    [T]="CV",    [LÍQUIDO BASE] &gt; 0),    TRUNC([LÍQUIDO BASE]*0.01, 2),    0)</f>
        <v>0</v>
      </c>
      <c r="Y32" s="15">
        <f>IF([PREÇO] &gt; 0,    [LÍQUIDO BASE]-SUMPRODUCT(N([DATA]=NC[[#This Row],[DATA]]),    [IRRF FONTE]),    0)</f>
        <v>-123.89</v>
      </c>
      <c r="Z32" s="20">
        <f>[LÍQUIDO]-SUMPRODUCT(N([DATA]=NC[[#This Row],[DATA]]),N([ID]=(NC[[#This Row],[ID]]-1)),[LÍQUIDO])</f>
        <v>-123.89</v>
      </c>
      <c r="AA32" s="15">
        <f>IF([T] = "VC", ABS([VALOR OP]) / [QTDE], [VALOR OP]/[QTDE])</f>
        <v>-0.30972500000000003</v>
      </c>
      <c r="AB32" s="15">
        <f>TRUNC(IF(OR([T]="CV",[T]="VV"),     N32*SETUP!$H$3,     0),2)</f>
        <v>0</v>
      </c>
      <c r="AC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D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2" s="15">
        <f>IF([LUCRO TMP] &lt;&gt; 0, [LUCRO TMP] - SUMPRODUCT(N([ATIVO]=NC[[#This Row],[ATIVO]]),N(['[D/N']]="N"),N([ID]&lt;NC[[#This Row],[ID]]),N([PAR]=NC[[#This Row],[PAR]]), [LUCRO TMP]), 0)</f>
        <v>0</v>
      </c>
      <c r="AH32" s="15">
        <f>IF([U] = "U", SUMPRODUCT(N([ID]&lt;=NC[[#This Row],[ID]]),N([DATA BASE]=NC[[#This Row],[DATA BASE]]), N(['[D/N']] = "N"),    [LUCRO P/ OP]), 0)</f>
        <v>0</v>
      </c>
      <c r="AI32" s="15">
        <f>IF([U] = "U", SUMPRODUCT(N([DATA BASE]=NC[[#This Row],[DATA BASE]]), N(['[D/N']] = "D"),    [LUCRO P/ OP]), 0)</f>
        <v>0</v>
      </c>
      <c r="AJ32" s="15">
        <f>IF([U] = "U", SUMPRODUCT(N([DATA BASE]=NC[[#This Row],[DATA BASE]]), N(['[D/N']] = "D"),    [IRRF FONTE]), 0)</f>
        <v>0</v>
      </c>
    </row>
    <row r="33" spans="1:36">
      <c r="A33" s="13">
        <v>32</v>
      </c>
      <c r="B33" s="13"/>
      <c r="C33" s="55" t="s">
        <v>79</v>
      </c>
      <c r="D33" s="13" t="s">
        <v>24</v>
      </c>
      <c r="E33" s="14">
        <v>41036</v>
      </c>
      <c r="F33" s="13">
        <v>100</v>
      </c>
      <c r="G33" s="15">
        <v>0.3</v>
      </c>
      <c r="H33" s="78"/>
      <c r="I33" s="19"/>
      <c r="J33" s="13" t="s">
        <v>6</v>
      </c>
      <c r="K33" s="14">
        <f>WORKDAY(NC[[#This Row],[DATA]],1,0)</f>
        <v>41037</v>
      </c>
      <c r="L33" s="22">
        <f>EOMONTH(NC[[#This Row],[DATA DE LIQUIDAÇÃO]],0)</f>
        <v>41060</v>
      </c>
      <c r="M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3" s="15">
        <f>[QTDE]*[PREÇO]</f>
        <v>30</v>
      </c>
      <c r="O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P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33" s="15">
        <f>SETUP!$E$3 * IF([PARCIAL] &gt; 0, [QTDE] / [PARCIAL], 1)</f>
        <v>14.9</v>
      </c>
      <c r="T33" s="15">
        <f>SUMPRODUCT(N([DATA]=NC[[#This Row],[DATA]]),N([ID]&lt;=NC[[#This Row],[ID]]), [CORR])</f>
        <v>14.9</v>
      </c>
      <c r="U33" s="15">
        <f>TRUNC([CORRETAGEM]*SETUP!$F$3,2)</f>
        <v>0.28999999999999998</v>
      </c>
      <c r="V33" s="15">
        <f>ROUND([CORRETAGEM]*SETUP!$G$3,2)</f>
        <v>0.57999999999999996</v>
      </c>
      <c r="W33" s="15">
        <f>[VALOR LÍQUIDO DAS OPERAÇÕES]-[TAXA DE LIQUIDAÇÃO]-[EMOLUMENTOS]-[TAXA DE REGISTRO]-[CORRETAGEM]-[ISS]-IF(['[D/N']]="D",    0,    [OUTRAS BOVESPA]) - [AJUSTE]</f>
        <v>-45.8</v>
      </c>
      <c r="X33" s="15">
        <f>IF(AND(['[D/N']]="D",    [T]="CV",    [LÍQUIDO BASE] &gt; 0),    TRUNC([LÍQUIDO BASE]*0.01, 2),    0)</f>
        <v>0</v>
      </c>
      <c r="Y33" s="15">
        <f>IF([PREÇO] &gt; 0,    [LÍQUIDO BASE]-SUMPRODUCT(N([DATA]=NC[[#This Row],[DATA]]),    [IRRF FONTE]),    0)</f>
        <v>-45.8</v>
      </c>
      <c r="Z33" s="20">
        <f>[LÍQUIDO]-SUMPRODUCT(N([DATA]=NC[[#This Row],[DATA]]),N([ID]=(NC[[#This Row],[ID]]-1)),[LÍQUIDO])</f>
        <v>-45.8</v>
      </c>
      <c r="AA33" s="15">
        <f>IF([T] = "VC", ABS([VALOR OP]) / [QTDE], [VALOR OP]/[QTDE])</f>
        <v>-0.45799999999999996</v>
      </c>
      <c r="AB33" s="15">
        <f>TRUNC(IF(OR([T]="CV",[T]="VV"),     N33*SETUP!$H$3,     0),2)</f>
        <v>0</v>
      </c>
      <c r="AC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D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3" s="15">
        <f>IF([LUCRO TMP] &lt;&gt; 0, [LUCRO TMP] - SUMPRODUCT(N([ATIVO]=NC[[#This Row],[ATIVO]]),N(['[D/N']]="N"),N([ID]&lt;NC[[#This Row],[ID]]),N([PAR]=NC[[#This Row],[PAR]]), [LUCRO TMP]), 0)</f>
        <v>0</v>
      </c>
      <c r="AH33" s="15">
        <f>IF([U] = "U", SUMPRODUCT(N([ID]&lt;=NC[[#This Row],[ID]]),N([DATA BASE]=NC[[#This Row],[DATA BASE]]), N(['[D/N']] = "N"),    [LUCRO P/ OP]), 0)</f>
        <v>0</v>
      </c>
      <c r="AI33" s="15">
        <f>IF([U] = "U", SUMPRODUCT(N([DATA BASE]=NC[[#This Row],[DATA BASE]]), N(['[D/N']] = "D"),    [LUCRO P/ OP]), 0)</f>
        <v>0</v>
      </c>
      <c r="AJ33" s="15">
        <f>IF([U] = "U", SUMPRODUCT(N([DATA BASE]=NC[[#This Row],[DATA BASE]]), N(['[D/N']] = "D"),    [IRRF FONTE]), 0)</f>
        <v>0</v>
      </c>
    </row>
    <row r="34" spans="1:36">
      <c r="A34" s="13">
        <v>33</v>
      </c>
      <c r="B34" s="13"/>
      <c r="C34" s="55" t="s">
        <v>80</v>
      </c>
      <c r="D34" s="13" t="s">
        <v>66</v>
      </c>
      <c r="E34" s="14">
        <v>41036</v>
      </c>
      <c r="F34" s="13">
        <v>100</v>
      </c>
      <c r="G34" s="15">
        <v>1.52</v>
      </c>
      <c r="H34" s="78"/>
      <c r="I34" s="19"/>
      <c r="J34" s="13" t="s">
        <v>6</v>
      </c>
      <c r="K34" s="14">
        <f>WORKDAY(NC[[#This Row],[DATA]],1,0)</f>
        <v>41037</v>
      </c>
      <c r="L34" s="22">
        <f>EOMONTH(NC[[#This Row],[DATA DE LIQUIDAÇÃO]],0)</f>
        <v>41060</v>
      </c>
      <c r="M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4" s="15">
        <f>[QTDE]*[PREÇO]</f>
        <v>152</v>
      </c>
      <c r="O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P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Q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34" s="15">
        <f>SETUP!$E$3 * IF([PARCIAL] &gt; 0, [QTDE] / [PARCIAL], 1)</f>
        <v>14.9</v>
      </c>
      <c r="T34" s="15">
        <f>SUMPRODUCT(N([DATA]=NC[[#This Row],[DATA]]),N([ID]&lt;=NC[[#This Row],[ID]]), [CORR])</f>
        <v>29.8</v>
      </c>
      <c r="U34" s="15">
        <f>TRUNC([CORRETAGEM]*SETUP!$F$3,2)</f>
        <v>0.59</v>
      </c>
      <c r="V34" s="15">
        <f>ROUND([CORRETAGEM]*SETUP!$G$3,2)</f>
        <v>1.1599999999999999</v>
      </c>
      <c r="W34" s="15">
        <f>[VALOR LÍQUIDO DAS OPERAÇÕES]-[TAXA DE LIQUIDAÇÃO]-[EMOLUMENTOS]-[TAXA DE REGISTRO]-[CORRETAGEM]-[ISS]-IF(['[D/N']]="D",    0,    [OUTRAS BOVESPA]) - [AJUSTE]</f>
        <v>90.22</v>
      </c>
      <c r="X34" s="15">
        <f>IF(AND(['[D/N']]="D",    [T]="CV",    [LÍQUIDO BASE] &gt; 0),    TRUNC([LÍQUIDO BASE]*0.01, 2),    0)</f>
        <v>0</v>
      </c>
      <c r="Y34" s="15">
        <f>IF([PREÇO] &gt; 0,    [LÍQUIDO BASE]-SUMPRODUCT(N([DATA]=NC[[#This Row],[DATA]]),    [IRRF FONTE]),    0)</f>
        <v>90.22</v>
      </c>
      <c r="Z34" s="20">
        <f>[LÍQUIDO]-SUMPRODUCT(N([DATA]=NC[[#This Row],[DATA]]),N([ID]=(NC[[#This Row],[ID]]-1)),[LÍQUIDO])</f>
        <v>136.01999999999998</v>
      </c>
      <c r="AA34" s="15">
        <f>IF([T] = "VC", ABS([VALOR OP]) / [QTDE], [VALOR OP]/[QTDE])</f>
        <v>1.3601999999999999</v>
      </c>
      <c r="AB34" s="15">
        <f>TRUNC(IF(OR([T]="CV",[T]="VV"),     N34*SETUP!$H$3,     0),2)</f>
        <v>0</v>
      </c>
      <c r="AC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D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3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4" s="15">
        <f>IF([LUCRO TMP] &lt;&gt; 0, [LUCRO TMP] - SUMPRODUCT(N([ATIVO]=NC[[#This Row],[ATIVO]]),N(['[D/N']]="N"),N([ID]&lt;NC[[#This Row],[ID]]),N([PAR]=NC[[#This Row],[PAR]]), [LUCRO TMP]), 0)</f>
        <v>0</v>
      </c>
      <c r="AH34" s="15">
        <f>IF([U] = "U", SUMPRODUCT(N([ID]&lt;=NC[[#This Row],[ID]]),N([DATA BASE]=NC[[#This Row],[DATA BASE]]), N(['[D/N']] = "N"),    [LUCRO P/ OP]), 0)</f>
        <v>0</v>
      </c>
      <c r="AI34" s="15">
        <f>IF([U] = "U", SUMPRODUCT(N([DATA BASE]=NC[[#This Row],[DATA BASE]]), N(['[D/N']] = "D"),    [LUCRO P/ OP]), 0)</f>
        <v>0</v>
      </c>
      <c r="AJ34" s="15">
        <f>IF([U] = "U", SUMPRODUCT(N([DATA BASE]=NC[[#This Row],[DATA BASE]]), N(['[D/N']] = "D"),    [IRRF FONTE]), 0)</f>
        <v>0</v>
      </c>
    </row>
    <row r="35" spans="1:36">
      <c r="A35" s="13">
        <v>34</v>
      </c>
      <c r="B35" s="13"/>
      <c r="C35" s="55" t="s">
        <v>65</v>
      </c>
      <c r="D35" s="30" t="s">
        <v>67</v>
      </c>
      <c r="E35" s="31">
        <v>41043</v>
      </c>
      <c r="F35" s="30">
        <v>100</v>
      </c>
      <c r="G35" s="29">
        <v>7.0000000000000007E-2</v>
      </c>
      <c r="H35" s="79"/>
      <c r="I35" s="35"/>
      <c r="J35" s="30" t="s">
        <v>6</v>
      </c>
      <c r="K35" s="31">
        <f>WORKDAY(NC[[#This Row],[DATA]],1,0)</f>
        <v>41044</v>
      </c>
      <c r="L35" s="32">
        <f>EOMONTH(NC[[#This Row],[DATA DE LIQUIDAÇÃO]],0)</f>
        <v>41060</v>
      </c>
      <c r="M35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5" s="29">
        <f>[QTDE]*[PREÇO]</f>
        <v>7.0000000000000009</v>
      </c>
      <c r="O35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P35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35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35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35" s="29">
        <f>SETUP!$E$3 * IF([PARCIAL] &gt; 0, [QTDE] / [PARCIAL], 1)</f>
        <v>14.9</v>
      </c>
      <c r="T35" s="29">
        <f>SUMPRODUCT(N([DATA]=NC[[#This Row],[DATA]]),N([ID]&lt;=NC[[#This Row],[ID]]), [CORR])</f>
        <v>14.9</v>
      </c>
      <c r="U35" s="29">
        <f>TRUNC([CORRETAGEM]*SETUP!$F$3,2)</f>
        <v>0.28999999999999998</v>
      </c>
      <c r="V35" s="29">
        <f>ROUND([CORRETAGEM]*SETUP!$G$3,2)</f>
        <v>0.57999999999999996</v>
      </c>
      <c r="W35" s="29">
        <f>[VALOR LÍQUIDO DAS OPERAÇÕES]-[TAXA DE LIQUIDAÇÃO]-[EMOLUMENTOS]-[TAXA DE REGISTRO]-[CORRETAGEM]-[ISS]-IF(['[D/N']]="D",    0,    [OUTRAS BOVESPA]) - [AJUSTE]</f>
        <v>-22.77</v>
      </c>
      <c r="X35" s="29">
        <f>IF(AND(['[D/N']]="D",    [T]="CV",    [LÍQUIDO BASE] &gt; 0),    TRUNC([LÍQUIDO BASE]*0.01, 2),    0)</f>
        <v>0</v>
      </c>
      <c r="Y35" s="15">
        <f>IF([PREÇO] &gt; 0,    [LÍQUIDO BASE]-SUMPRODUCT(N([DATA]=NC[[#This Row],[DATA]]),    [IRRF FONTE]),    0)</f>
        <v>-22.77</v>
      </c>
      <c r="Z35" s="33">
        <f>[LÍQUIDO]-SUMPRODUCT(N([DATA]=NC[[#This Row],[DATA]]),N([ID]=(NC[[#This Row],[ID]]-1)),[LÍQUIDO])</f>
        <v>-22.77</v>
      </c>
      <c r="AA35" s="29">
        <f>IF([T] = "VC", ABS([VALOR OP]) / [QTDE], [VALOR OP]/[QTDE])</f>
        <v>0.22769999999999999</v>
      </c>
      <c r="AB35" s="29">
        <f>TRUNC(IF(OR([T]="CV",[T]="VV"),     N35*SETUP!$H$3,     0),2)</f>
        <v>0</v>
      </c>
      <c r="AC35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35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E35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F35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G35" s="29">
        <f>IF([LUCRO TMP] &lt;&gt; 0, [LUCRO TMP] - SUMPRODUCT(N([ATIVO]=NC[[#This Row],[ATIVO]]),N(['[D/N']]="N"),N([ID]&lt;NC[[#This Row],[ID]]),N([PAR]=NC[[#This Row],[PAR]]), [LUCRO TMP]), 0)</f>
        <v>154.20000000000002</v>
      </c>
      <c r="AH35" s="29">
        <f>IF([U] = "U", SUMPRODUCT(N([ID]&lt;=NC[[#This Row],[ID]]),N([DATA BASE]=NC[[#This Row],[DATA BASE]]), N(['[D/N']] = "N"),    [LUCRO P/ OP]), 0)</f>
        <v>0</v>
      </c>
      <c r="AI35" s="29">
        <f>IF([U] = "U", SUMPRODUCT(N([DATA BASE]=NC[[#This Row],[DATA BASE]]), N(['[D/N']] = "D"),    [LUCRO P/ OP]), 0)</f>
        <v>0</v>
      </c>
      <c r="AJ35" s="15">
        <f>IF([U] = "U", SUMPRODUCT(N([DATA BASE]=NC[[#This Row],[DATA BASE]]), N(['[D/N']] = "D"),    [IRRF FONTE]), 0)</f>
        <v>0</v>
      </c>
    </row>
    <row r="36" spans="1:36">
      <c r="A36" s="13">
        <v>35</v>
      </c>
      <c r="B36" s="43"/>
      <c r="C36" s="55" t="s">
        <v>90</v>
      </c>
      <c r="D36" s="43" t="s">
        <v>66</v>
      </c>
      <c r="E36" s="44">
        <v>41043</v>
      </c>
      <c r="F36" s="43">
        <v>900</v>
      </c>
      <c r="G36" s="42">
        <v>1.02</v>
      </c>
      <c r="H36" s="76"/>
      <c r="I36" s="49"/>
      <c r="J36" s="43" t="s">
        <v>6</v>
      </c>
      <c r="K36" s="44">
        <f>WORKDAY(NC[[#This Row],[DATA]],1,0)</f>
        <v>41044</v>
      </c>
      <c r="L36" s="45">
        <f>EOMONTH(NC[[#This Row],[DATA DE LIQUIDAÇÃO]],0)</f>
        <v>41060</v>
      </c>
      <c r="M3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6" s="42">
        <f>[QTDE]*[PREÇO]</f>
        <v>918</v>
      </c>
      <c r="O3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P3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3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3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S36" s="42">
        <f>SETUP!$E$3 * IF([PARCIAL] &gt; 0, [QTDE] / [PARCIAL], 1)</f>
        <v>14.9</v>
      </c>
      <c r="T36" s="42">
        <f>SUMPRODUCT(N([DATA]=NC[[#This Row],[DATA]]),N([ID]&lt;=NC[[#This Row],[ID]]), [CORR])</f>
        <v>29.8</v>
      </c>
      <c r="U36" s="42">
        <f>TRUNC([CORRETAGEM]*SETUP!$F$3,2)</f>
        <v>0.59</v>
      </c>
      <c r="V36" s="42">
        <f>ROUND([CORRETAGEM]*SETUP!$G$3,2)</f>
        <v>1.1599999999999999</v>
      </c>
      <c r="W36" s="42">
        <f>[VALOR LÍQUIDO DAS OPERAÇÕES]-[TAXA DE LIQUIDAÇÃO]-[EMOLUMENTOS]-[TAXA DE REGISTRO]-[CORRETAGEM]-[ISS]-IF(['[D/N']]="D",    0,    [OUTRAS BOVESPA]) - [AJUSTE]</f>
        <v>878.22</v>
      </c>
      <c r="X36" s="42">
        <f>IF(AND(['[D/N']]="D",    [T]="CV",    [LÍQUIDO BASE] &gt; 0),    TRUNC([LÍQUIDO BASE]*0.01, 2),    0)</f>
        <v>0</v>
      </c>
      <c r="Y36" s="15">
        <f>IF([PREÇO] &gt; 0,    [LÍQUIDO BASE]-SUMPRODUCT(N([DATA]=NC[[#This Row],[DATA]]),    [IRRF FONTE]),    0)</f>
        <v>878.22</v>
      </c>
      <c r="Z36" s="46">
        <f>[LÍQUIDO]-SUMPRODUCT(N([DATA]=NC[[#This Row],[DATA]]),N([ID]=(NC[[#This Row],[ID]]-1)),[LÍQUIDO])</f>
        <v>900.99</v>
      </c>
      <c r="AA36" s="42">
        <f>IF([T] = "VC", ABS([VALOR OP]) / [QTDE], [VALOR OP]/[QTDE])</f>
        <v>1.0011000000000001</v>
      </c>
      <c r="AB36" s="42">
        <f>TRUNC(IF(OR([T]="CV",[T]="VV"),     N36*SETUP!$H$3,     0),2)</f>
        <v>0.04</v>
      </c>
      <c r="AC3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D3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3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6" s="42">
        <f>IF([LUCRO TMP] &lt;&gt; 0, [LUCRO TMP] - SUMPRODUCT(N([ATIVO]=NC[[#This Row],[ATIVO]]),N(['[D/N']]="N"),N([ID]&lt;NC[[#This Row],[ID]]),N([PAR]=NC[[#This Row],[PAR]]), [LUCRO TMP]), 0)</f>
        <v>0</v>
      </c>
      <c r="AH36" s="42">
        <f>IF([U] = "U", SUMPRODUCT(N([ID]&lt;=NC[[#This Row],[ID]]),N([DATA BASE]=NC[[#This Row],[DATA BASE]]), N(['[D/N']] = "N"),    [LUCRO P/ OP]), 0)</f>
        <v>0</v>
      </c>
      <c r="AI36" s="42">
        <f>IF([U] = "U", SUMPRODUCT(N([DATA BASE]=NC[[#This Row],[DATA BASE]]), N(['[D/N']] = "D"),    [LUCRO P/ OP]), 0)</f>
        <v>0</v>
      </c>
      <c r="AJ36" s="15">
        <f>IF([U] = "U", SUMPRODUCT(N([DATA BASE]=NC[[#This Row],[DATA BASE]]), N(['[D/N']] = "D"),    [IRRF FONTE]), 0)</f>
        <v>0</v>
      </c>
    </row>
    <row r="37" spans="1:36">
      <c r="A37" s="13">
        <v>36</v>
      </c>
      <c r="B37" s="43"/>
      <c r="C37" s="55" t="s">
        <v>85</v>
      </c>
      <c r="D37" s="43" t="s">
        <v>24</v>
      </c>
      <c r="E37" s="44">
        <v>41043</v>
      </c>
      <c r="F37" s="43">
        <v>900</v>
      </c>
      <c r="G37" s="42">
        <v>0.5</v>
      </c>
      <c r="H37" s="76"/>
      <c r="I37" s="49"/>
      <c r="J37" s="43" t="s">
        <v>6</v>
      </c>
      <c r="K37" s="44">
        <f>WORKDAY(NC[[#This Row],[DATA]],1,0)</f>
        <v>41044</v>
      </c>
      <c r="L37" s="45">
        <f>EOMONTH(NC[[#This Row],[DATA DE LIQUIDAÇÃO]],0)</f>
        <v>41060</v>
      </c>
      <c r="M37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7" s="42">
        <f>[QTDE]*[PREÇO]</f>
        <v>450</v>
      </c>
      <c r="O37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P37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Q37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R37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S37" s="42">
        <f>SETUP!$E$3 * IF([PARCIAL] &gt; 0, [QTDE] / [PARCIAL], 1)</f>
        <v>14.9</v>
      </c>
      <c r="T37" s="42">
        <f>SUMPRODUCT(N([DATA]=NC[[#This Row],[DATA]]),N([ID]&lt;=NC[[#This Row],[ID]]), [CORR])</f>
        <v>44.7</v>
      </c>
      <c r="U37" s="42">
        <f>TRUNC([CORRETAGEM]*SETUP!$F$3,2)</f>
        <v>0.89</v>
      </c>
      <c r="V37" s="42">
        <f>ROUND([CORRETAGEM]*SETUP!$G$3,2)</f>
        <v>1.74</v>
      </c>
      <c r="W37" s="42">
        <f>[VALOR LÍQUIDO DAS OPERAÇÕES]-[TAXA DE LIQUIDAÇÃO]-[EMOLUMENTOS]-[TAXA DE REGISTRO]-[CORRETAGEM]-[ISS]-IF(['[D/N']]="D",    0,    [OUTRAS BOVESPA]) - [AJUSTE]</f>
        <v>411.85</v>
      </c>
      <c r="X37" s="42">
        <f>IF(AND(['[D/N']]="D",    [T]="CV",    [LÍQUIDO BASE] &gt; 0),    TRUNC([LÍQUIDO BASE]*0.01, 2),    0)</f>
        <v>0</v>
      </c>
      <c r="Y37" s="15">
        <f>IF([PREÇO] &gt; 0,    [LÍQUIDO BASE]-SUMPRODUCT(N([DATA]=NC[[#This Row],[DATA]]),    [IRRF FONTE]),    0)</f>
        <v>411.85</v>
      </c>
      <c r="Z37" s="46">
        <f>[LÍQUIDO]-SUMPRODUCT(N([DATA]=NC[[#This Row],[DATA]]),N([ID]=(NC[[#This Row],[ID]]-1)),[LÍQUIDO])</f>
        <v>-466.37</v>
      </c>
      <c r="AA37" s="42">
        <f>IF([T] = "VC", ABS([VALOR OP]) / [QTDE], [VALOR OP]/[QTDE])</f>
        <v>-0.51818888888888892</v>
      </c>
      <c r="AB37" s="42">
        <f>TRUNC(IF(OR([T]="CV",[T]="VV"),     N37*SETUP!$H$3,     0),2)</f>
        <v>0</v>
      </c>
      <c r="AC37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D37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37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7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7" s="42">
        <f>IF([LUCRO TMP] &lt;&gt; 0, [LUCRO TMP] - SUMPRODUCT(N([ATIVO]=NC[[#This Row],[ATIVO]]),N(['[D/N']]="N"),N([ID]&lt;NC[[#This Row],[ID]]),N([PAR]=NC[[#This Row],[PAR]]), [LUCRO TMP]), 0)</f>
        <v>0</v>
      </c>
      <c r="AH37" s="42">
        <f>IF([U] = "U", SUMPRODUCT(N([ID]&lt;=NC[[#This Row],[ID]]),N([DATA BASE]=NC[[#This Row],[DATA BASE]]), N(['[D/N']] = "N"),    [LUCRO P/ OP]), 0)</f>
        <v>0</v>
      </c>
      <c r="AI37" s="42">
        <f>IF([U] = "U", SUMPRODUCT(N([DATA BASE]=NC[[#This Row],[DATA BASE]]), N(['[D/N']] = "D"),    [LUCRO P/ OP]), 0)</f>
        <v>0</v>
      </c>
      <c r="AJ37" s="15">
        <f>IF([U] = "U", SUMPRODUCT(N([DATA BASE]=NC[[#This Row],[DATA BASE]]), N(['[D/N']] = "D"),    [IRRF FONTE]), 0)</f>
        <v>0</v>
      </c>
    </row>
    <row r="38" spans="1:36">
      <c r="A38" s="13">
        <v>37</v>
      </c>
      <c r="B38" s="13"/>
      <c r="C38" s="55" t="s">
        <v>104</v>
      </c>
      <c r="D38" s="13" t="s">
        <v>24</v>
      </c>
      <c r="E38" s="14">
        <v>41045</v>
      </c>
      <c r="F38" s="13">
        <v>200</v>
      </c>
      <c r="G38" s="15">
        <v>0.69</v>
      </c>
      <c r="H38" s="78"/>
      <c r="I38" s="19"/>
      <c r="J38" s="13" t="s">
        <v>6</v>
      </c>
      <c r="K38" s="14">
        <f>WORKDAY(NC[[#This Row],[DATA]],1,0)</f>
        <v>41046</v>
      </c>
      <c r="L38" s="56">
        <f>EOMONTH(NC[[#This Row],[DATA DE LIQUIDAÇÃO]],0)</f>
        <v>41060</v>
      </c>
      <c r="M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8" s="15">
        <f>[QTDE]*[PREÇO]</f>
        <v>138</v>
      </c>
      <c r="O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P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Q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S38" s="15">
        <f>SETUP!$E$3 * IF([PARCIAL] &gt; 0, [QTDE] / [PARCIAL], 1)</f>
        <v>14.9</v>
      </c>
      <c r="T38" s="15">
        <f>SUMPRODUCT(N([DATA]=NC[[#This Row],[DATA]]),N([ID]&lt;=NC[[#This Row],[ID]]), [CORR])</f>
        <v>14.9</v>
      </c>
      <c r="U38" s="15">
        <f>TRUNC([CORRETAGEM]*SETUP!$F$3,2)</f>
        <v>0.28999999999999998</v>
      </c>
      <c r="V38" s="15">
        <f>ROUND([CORRETAGEM]*SETUP!$G$3,2)</f>
        <v>0.57999999999999996</v>
      </c>
      <c r="W38" s="15">
        <f>[VALOR LÍQUIDO DAS OPERAÇÕES]-[TAXA DE LIQUIDAÇÃO]-[EMOLUMENTOS]-[TAXA DE REGISTRO]-[CORRETAGEM]-[ISS]-IF(['[D/N']]="D",    0,    [OUTRAS BOVESPA]) - [AJUSTE]</f>
        <v>-153.94000000000003</v>
      </c>
      <c r="X38" s="15">
        <f>IF(AND(['[D/N']]="D",    [T]="CV",    [LÍQUIDO BASE] &gt; 0),    TRUNC([LÍQUIDO BASE]*0.01, 2),    0)</f>
        <v>0</v>
      </c>
      <c r="Y38" s="15">
        <f>IF([PREÇO] &gt; 0,    [LÍQUIDO BASE]-SUMPRODUCT(N([DATA]=NC[[#This Row],[DATA]]),    [IRRF FONTE]),    0)</f>
        <v>-153.94000000000003</v>
      </c>
      <c r="Z38" s="20">
        <f>[LÍQUIDO]-SUMPRODUCT(N([DATA]=NC[[#This Row],[DATA]]),N([ID]=(NC[[#This Row],[ID]]-1)),[LÍQUIDO])</f>
        <v>-153.94000000000003</v>
      </c>
      <c r="AA38" s="15">
        <f>IF([T] = "VC", ABS([VALOR OP]) / [QTDE], [VALOR OP]/[QTDE])</f>
        <v>-0.76970000000000016</v>
      </c>
      <c r="AB38" s="15">
        <f>TRUNC(IF(OR([T]="CV",[T]="VV"),     N38*SETUP!$H$3,     0),2)</f>
        <v>0</v>
      </c>
      <c r="AC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D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3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8" s="15">
        <f>IF([LUCRO TMP] &lt;&gt; 0, [LUCRO TMP] - SUMPRODUCT(N([ATIVO]=NC[[#This Row],[ATIVO]]),N(['[D/N']]="N"),N([ID]&lt;NC[[#This Row],[ID]]),N([PAR]=NC[[#This Row],[PAR]]), [LUCRO TMP]), 0)</f>
        <v>0</v>
      </c>
      <c r="AH38" s="15">
        <f>IF([U] = "U", SUMPRODUCT(N([ID]&lt;=NC[[#This Row],[ID]]),N([DATA BASE]=NC[[#This Row],[DATA BASE]]), N(['[D/N']] = "N"),    [LUCRO P/ OP]), 0)</f>
        <v>0</v>
      </c>
      <c r="AI38" s="15">
        <f>IF([U] = "U", SUMPRODUCT(N([DATA BASE]=NC[[#This Row],[DATA BASE]]), N(['[D/N']] = "D"),    [LUCRO P/ OP]), 0)</f>
        <v>0</v>
      </c>
      <c r="AJ38" s="15">
        <f>IF([U] = "U", SUMPRODUCT(N([DATA BASE]=NC[[#This Row],[DATA BASE]]), N(['[D/N']] = "D"),    [IRRF FONTE]), 0)</f>
        <v>0</v>
      </c>
    </row>
    <row r="39" spans="1:36">
      <c r="A39" s="13">
        <v>38</v>
      </c>
      <c r="B39" s="13"/>
      <c r="C39" s="55" t="s">
        <v>105</v>
      </c>
      <c r="D39" s="13" t="s">
        <v>66</v>
      </c>
      <c r="E39" s="14">
        <v>41045</v>
      </c>
      <c r="F39" s="13">
        <v>200</v>
      </c>
      <c r="G39" s="15">
        <v>1.37</v>
      </c>
      <c r="H39" s="78"/>
      <c r="I39" s="19"/>
      <c r="J39" s="13" t="s">
        <v>6</v>
      </c>
      <c r="K39" s="14">
        <f>WORKDAY(NC[[#This Row],[DATA]],1,0)</f>
        <v>41046</v>
      </c>
      <c r="L39" s="56">
        <f>EOMONTH(NC[[#This Row],[DATA DE LIQUIDAÇÃO]],0)</f>
        <v>41060</v>
      </c>
      <c r="M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39" s="15">
        <f>[QTDE]*[PREÇO]</f>
        <v>274</v>
      </c>
      <c r="O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P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Q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R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S39" s="15">
        <f>SETUP!$E$3 * IF([PARCIAL] &gt; 0, [QTDE] / [PARCIAL], 1)</f>
        <v>14.9</v>
      </c>
      <c r="T39" s="15">
        <f>SUMPRODUCT(N([DATA]=NC[[#This Row],[DATA]]),N([ID]&lt;=NC[[#This Row],[ID]]), [CORR])</f>
        <v>29.8</v>
      </c>
      <c r="U39" s="15">
        <f>TRUNC([CORRETAGEM]*SETUP!$F$3,2)</f>
        <v>0.59</v>
      </c>
      <c r="V39" s="15">
        <f>ROUND([CORRETAGEM]*SETUP!$G$3,2)</f>
        <v>1.1599999999999999</v>
      </c>
      <c r="W39" s="15">
        <f>[VALOR LÍQUIDO DAS OPERAÇÕES]-[TAXA DE LIQUIDAÇÃO]-[EMOLUMENTOS]-[TAXA DE REGISTRO]-[CORRETAGEM]-[ISS]-IF(['[D/N']]="D",    0,    [OUTRAS BOVESPA]) - [AJUSTE]</f>
        <v>103.90999999999998</v>
      </c>
      <c r="X39" s="15">
        <f>IF(AND(['[D/N']]="D",    [T]="CV",    [LÍQUIDO BASE] &gt; 0),    TRUNC([LÍQUIDO BASE]*0.01, 2),    0)</f>
        <v>0</v>
      </c>
      <c r="Y39" s="15">
        <f>IF([PREÇO] &gt; 0,    [LÍQUIDO BASE]-SUMPRODUCT(N([DATA]=NC[[#This Row],[DATA]]),    [IRRF FONTE]),    0)</f>
        <v>103.90999999999998</v>
      </c>
      <c r="Z39" s="20">
        <f>[LÍQUIDO]-SUMPRODUCT(N([DATA]=NC[[#This Row],[DATA]]),N([ID]=(NC[[#This Row],[ID]]-1)),[LÍQUIDO])</f>
        <v>257.85000000000002</v>
      </c>
      <c r="AA39" s="15">
        <f>IF([T] = "VC", ABS([VALOR OP]) / [QTDE], [VALOR OP]/[QTDE])</f>
        <v>1.28925</v>
      </c>
      <c r="AB39" s="15">
        <f>TRUNC(IF(OR([T]="CV",[T]="VV"),     N39*SETUP!$H$3,     0),2)</f>
        <v>0.01</v>
      </c>
      <c r="AC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D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3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39" s="15">
        <f>IF([LUCRO TMP] &lt;&gt; 0, [LUCRO TMP] - SUMPRODUCT(N([ATIVO]=NC[[#This Row],[ATIVO]]),N(['[D/N']]="N"),N([ID]&lt;NC[[#This Row],[ID]]),N([PAR]=NC[[#This Row],[PAR]]), [LUCRO TMP]), 0)</f>
        <v>0</v>
      </c>
      <c r="AH39" s="15">
        <f>IF([U] = "U", SUMPRODUCT(N([ID]&lt;=NC[[#This Row],[ID]]),N([DATA BASE]=NC[[#This Row],[DATA BASE]]), N(['[D/N']] = "N"),    [LUCRO P/ OP]), 0)</f>
        <v>0</v>
      </c>
      <c r="AI39" s="15">
        <f>IF([U] = "U", SUMPRODUCT(N([DATA BASE]=NC[[#This Row],[DATA BASE]]), N(['[D/N']] = "D"),    [LUCRO P/ OP]), 0)</f>
        <v>0</v>
      </c>
      <c r="AJ39" s="15">
        <f>IF([U] = "U", SUMPRODUCT(N([DATA BASE]=NC[[#This Row],[DATA BASE]]), N(['[D/N']] = "D"),    [IRRF FONTE]), 0)</f>
        <v>0</v>
      </c>
    </row>
    <row r="40" spans="1:36">
      <c r="A40" s="13">
        <v>39</v>
      </c>
      <c r="B40" s="13"/>
      <c r="C40" s="55" t="s">
        <v>80</v>
      </c>
      <c r="D40" s="13" t="s">
        <v>67</v>
      </c>
      <c r="E40" s="31">
        <v>41047</v>
      </c>
      <c r="F40" s="13">
        <v>100</v>
      </c>
      <c r="G40" s="15">
        <v>0.28999999999999998</v>
      </c>
      <c r="H40" s="78"/>
      <c r="I40" s="19"/>
      <c r="J40" s="13" t="s">
        <v>6</v>
      </c>
      <c r="K40" s="14">
        <f>WORKDAY(NC[[#This Row],[DATA]],1,0)</f>
        <v>41050</v>
      </c>
      <c r="L40" s="22">
        <f>EOMONTH(NC[[#This Row],[DATA DE LIQUIDAÇÃO]],0)</f>
        <v>41060</v>
      </c>
      <c r="M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0" s="15">
        <f>[QTDE]*[PREÇO]</f>
        <v>28.999999999999996</v>
      </c>
      <c r="O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P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R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S40" s="15">
        <f>SETUP!$E$3 * IF([PARCIAL] &gt; 0, [QTDE] / [PARCIAL], 1)</f>
        <v>14.9</v>
      </c>
      <c r="T40" s="15">
        <f>SUMPRODUCT(N([DATA]=NC[[#This Row],[DATA]]),N([ID]&lt;=NC[[#This Row],[ID]]), [CORR])</f>
        <v>14.9</v>
      </c>
      <c r="U40" s="15">
        <f>TRUNC([CORRETAGEM]*SETUP!$F$3,2)</f>
        <v>0.28999999999999998</v>
      </c>
      <c r="V40" s="15">
        <f>ROUND([CORRETAGEM]*SETUP!$G$3,2)</f>
        <v>0.57999999999999996</v>
      </c>
      <c r="W40" s="15">
        <f>[VALOR LÍQUIDO DAS OPERAÇÕES]-[TAXA DE LIQUIDAÇÃO]-[EMOLUMENTOS]-[TAXA DE REGISTRO]-[CORRETAGEM]-[ISS]-IF(['[D/N']]="D",    0,    [OUTRAS BOVESPA]) - [AJUSTE]</f>
        <v>-44.8</v>
      </c>
      <c r="X40" s="15">
        <f>IF(AND(['[D/N']]="D",    [T]="CV",    [LÍQUIDO BASE] &gt; 0),    TRUNC([LÍQUIDO BASE]*0.01, 2),    0)</f>
        <v>0</v>
      </c>
      <c r="Y40" s="15">
        <f>IF([PREÇO] &gt; 0,    [LÍQUIDO BASE]-SUMPRODUCT(N([DATA]=NC[[#This Row],[DATA]]),    [IRRF FONTE]),    0)</f>
        <v>-44.8</v>
      </c>
      <c r="Z40" s="20">
        <f>[LÍQUIDO]-SUMPRODUCT(N([DATA]=NC[[#This Row],[DATA]]),N([ID]=(NC[[#This Row],[ID]]-1)),[LÍQUIDO])</f>
        <v>-44.8</v>
      </c>
      <c r="AA40" s="15">
        <f>IF([T] = "VC", ABS([VALOR OP]) / [QTDE], [VALOR OP]/[QTDE])</f>
        <v>0.44799999999999995</v>
      </c>
      <c r="AB40" s="15">
        <f>TRUNC(IF(OR([T]="CV",[T]="VV"),     N40*SETUP!$H$3,     0),2)</f>
        <v>0</v>
      </c>
      <c r="AC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E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F4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G40" s="15">
        <f>IF([LUCRO TMP] &lt;&gt; 0, [LUCRO TMP] - SUMPRODUCT(N([ATIVO]=NC[[#This Row],[ATIVO]]),N(['[D/N']]="N"),N([ID]&lt;NC[[#This Row],[ID]]),N([PAR]=NC[[#This Row],[PAR]]), [LUCRO TMP]), 0)</f>
        <v>91.219999999999985</v>
      </c>
      <c r="AH40" s="15">
        <f>IF([U] = "U", SUMPRODUCT(N([ID]&lt;=NC[[#This Row],[ID]]),N([DATA BASE]=NC[[#This Row],[DATA BASE]]), N(['[D/N']] = "N"),    [LUCRO P/ OP]), 0)</f>
        <v>0</v>
      </c>
      <c r="AI40" s="15">
        <f>IF([U] = "U", SUMPRODUCT(N([DATA BASE]=NC[[#This Row],[DATA BASE]]), N(['[D/N']] = "D"),    [LUCRO P/ OP]), 0)</f>
        <v>0</v>
      </c>
      <c r="AJ40" s="15">
        <f>IF([U] = "U", SUMPRODUCT(N([DATA BASE]=NC[[#This Row],[DATA BASE]]), N(['[D/N']] = "D"),    [IRRF FONTE]), 0)</f>
        <v>0</v>
      </c>
    </row>
    <row r="41" spans="1:36">
      <c r="A41" s="13">
        <v>40</v>
      </c>
      <c r="B41" s="43"/>
      <c r="C41" s="55" t="s">
        <v>90</v>
      </c>
      <c r="D41" s="43" t="s">
        <v>67</v>
      </c>
      <c r="E41" s="44">
        <v>41047</v>
      </c>
      <c r="F41" s="43">
        <v>900</v>
      </c>
      <c r="G41" s="42">
        <v>0.04</v>
      </c>
      <c r="H41" s="76"/>
      <c r="I41" s="49"/>
      <c r="J41" s="43" t="s">
        <v>6</v>
      </c>
      <c r="K41" s="44">
        <f>WORKDAY(NC[[#This Row],[DATA]],1,0)</f>
        <v>41050</v>
      </c>
      <c r="L41" s="45">
        <f>EOMONTH(NC[[#This Row],[DATA DE LIQUIDAÇÃO]],0)</f>
        <v>41060</v>
      </c>
      <c r="M4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1" s="42">
        <f>[QTDE]*[PREÇO]</f>
        <v>36</v>
      </c>
      <c r="O4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P4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Q4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4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S41" s="42">
        <f>SETUP!$E$3 * IF([PARCIAL] &gt; 0, [QTDE] / [PARCIAL], 1)</f>
        <v>14.9</v>
      </c>
      <c r="T41" s="42">
        <f>SUMPRODUCT(N([DATA]=NC[[#This Row],[DATA]]),N([ID]&lt;=NC[[#This Row],[ID]]), [CORR])</f>
        <v>29.8</v>
      </c>
      <c r="U41" s="42">
        <f>TRUNC([CORRETAGEM]*SETUP!$F$3,2)</f>
        <v>0.59</v>
      </c>
      <c r="V41" s="42">
        <f>ROUND([CORRETAGEM]*SETUP!$G$3,2)</f>
        <v>1.1599999999999999</v>
      </c>
      <c r="W41" s="42">
        <f>[VALOR LÍQUIDO DAS OPERAÇÕES]-[TAXA DE LIQUIDAÇÃO]-[EMOLUMENTOS]-[TAXA DE REGISTRO]-[CORRETAGEM]-[ISS]-IF(['[D/N']]="D",    0,    [OUTRAS BOVESPA]) - [AJUSTE]</f>
        <v>-96.62</v>
      </c>
      <c r="X41" s="42">
        <f>IF(AND(['[D/N']]="D",    [T]="CV",    [LÍQUIDO BASE] &gt; 0),    TRUNC([LÍQUIDO BASE]*0.01, 2),    0)</f>
        <v>0</v>
      </c>
      <c r="Y41" s="15">
        <f>IF([PREÇO] &gt; 0,    [LÍQUIDO BASE]-SUMPRODUCT(N([DATA]=NC[[#This Row],[DATA]]),    [IRRF FONTE]),    0)</f>
        <v>-96.62</v>
      </c>
      <c r="Z41" s="46">
        <f>[LÍQUIDO]-SUMPRODUCT(N([DATA]=NC[[#This Row],[DATA]]),N([ID]=(NC[[#This Row],[ID]]-1)),[LÍQUIDO])</f>
        <v>-51.820000000000007</v>
      </c>
      <c r="AA41" s="42">
        <f>IF([T] = "VC", ABS([VALOR OP]) / [QTDE], [VALOR OP]/[QTDE])</f>
        <v>5.7577777777777783E-2</v>
      </c>
      <c r="AB41" s="42">
        <f>TRUNC(IF(OR([T]="CV",[T]="VV"),     N41*SETUP!$H$3,     0),2)</f>
        <v>0</v>
      </c>
      <c r="AC4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E4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F4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G41" s="42">
        <f>IF([LUCRO TMP] &lt;&gt; 0, [LUCRO TMP] - SUMPRODUCT(N([ATIVO]=NC[[#This Row],[ATIVO]]),N(['[D/N']]="N"),N([ID]&lt;NC[[#This Row],[ID]]),N([PAR]=NC[[#This Row],[PAR]]), [LUCRO TMP]), 0)</f>
        <v>849.17000000000019</v>
      </c>
      <c r="AH41" s="42">
        <f>IF([U] = "U", SUMPRODUCT(N([ID]&lt;=NC[[#This Row],[ID]]),N([DATA BASE]=NC[[#This Row],[DATA BASE]]), N(['[D/N']] = "N"),    [LUCRO P/ OP]), 0)</f>
        <v>0</v>
      </c>
      <c r="AI41" s="42">
        <f>IF([U] = "U", SUMPRODUCT(N([DATA BASE]=NC[[#This Row],[DATA BASE]]), N(['[D/N']] = "D"),    [LUCRO P/ OP]), 0)</f>
        <v>0</v>
      </c>
      <c r="AJ41" s="15">
        <f>IF([U] = "U", SUMPRODUCT(N([DATA BASE]=NC[[#This Row],[DATA BASE]]), N(['[D/N']] = "D"),    [IRRF FONTE]), 0)</f>
        <v>0</v>
      </c>
    </row>
    <row r="42" spans="1:36">
      <c r="A42" s="13">
        <v>41</v>
      </c>
      <c r="B42" s="30"/>
      <c r="C42" s="55" t="s">
        <v>64</v>
      </c>
      <c r="D42" s="30" t="s">
        <v>25</v>
      </c>
      <c r="E42" s="31">
        <v>41050</v>
      </c>
      <c r="F42" s="30">
        <v>100</v>
      </c>
      <c r="G42" s="29">
        <v>0</v>
      </c>
      <c r="H42" s="79"/>
      <c r="I42" s="35"/>
      <c r="J42" s="30" t="s">
        <v>6</v>
      </c>
      <c r="K42" s="31">
        <f>WORKDAY(NC[[#This Row],[DATA]],1,0)</f>
        <v>41051</v>
      </c>
      <c r="L42" s="32">
        <f>EOMONTH(NC[[#This Row],[DATA DE LIQUIDAÇÃO]],0)</f>
        <v>41060</v>
      </c>
      <c r="M42" s="30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2" s="29">
        <f>[QTDE]*[PREÇO]</f>
        <v>0</v>
      </c>
      <c r="O42" s="29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2" s="29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2" s="29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2" s="29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2" s="29">
        <f>SETUP!$E$3 * IF([PARCIAL] &gt; 0, [QTDE] / [PARCIAL], 1)</f>
        <v>14.9</v>
      </c>
      <c r="T42" s="29">
        <f>SUMPRODUCT(N([DATA]=NC[[#This Row],[DATA]]),N([ID]&lt;=NC[[#This Row],[ID]]), [CORR])</f>
        <v>14.9</v>
      </c>
      <c r="U42" s="29">
        <f>TRUNC([CORRETAGEM]*SETUP!$F$3,2)</f>
        <v>0.28999999999999998</v>
      </c>
      <c r="V42" s="29">
        <f>ROUND([CORRETAGEM]*SETUP!$G$3,2)</f>
        <v>0.57999999999999996</v>
      </c>
      <c r="W42" s="29">
        <f>[VALOR LÍQUIDO DAS OPERAÇÕES]-[TAXA DE LIQUIDAÇÃO]-[EMOLUMENTOS]-[TAXA DE REGISTRO]-[CORRETAGEM]-[ISS]-IF(['[D/N']]="D",    0,    [OUTRAS BOVESPA]) - [AJUSTE]</f>
        <v>-15.77</v>
      </c>
      <c r="X42" s="29">
        <f>IF(AND(['[D/N']]="D",    [T]="CV",    [LÍQUIDO BASE] &gt; 0),    TRUNC([LÍQUIDO BASE]*0.01, 2),    0)</f>
        <v>0</v>
      </c>
      <c r="Y42" s="15">
        <f>IF([PREÇO] &gt; 0,    [LÍQUIDO BASE]-SUMPRODUCT(N([DATA]=NC[[#This Row],[DATA]]),    [IRRF FONTE]),    0)</f>
        <v>0</v>
      </c>
      <c r="Z42" s="33">
        <f>[LÍQUIDO]-SUMPRODUCT(N([DATA]=NC[[#This Row],[DATA]]),N([ID]=(NC[[#This Row],[ID]]-1)),[LÍQUIDO])</f>
        <v>0</v>
      </c>
      <c r="AA42" s="29">
        <f>IF([T] = "VC", ABS([VALOR OP]) / [QTDE], [VALOR OP]/[QTDE])</f>
        <v>0</v>
      </c>
      <c r="AB42" s="29">
        <f>TRUNC(IF(OR([T]="CV",[T]="VV"),     N42*SETUP!$H$3,     0),2)</f>
        <v>0</v>
      </c>
      <c r="AC42" s="30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2" s="34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E42" s="34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2" s="34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G42" s="29">
        <f>IF([LUCRO TMP] &lt;&gt; 0, [LUCRO TMP] - SUMPRODUCT(N([ATIVO]=NC[[#This Row],[ATIVO]]),N(['[D/N']]="N"),N([ID]&lt;NC[[#This Row],[ID]]),N([PAR]=NC[[#This Row],[PAR]]), [LUCRO TMP]), 0)</f>
        <v>-90.86</v>
      </c>
      <c r="AH42" s="29">
        <f>IF([U] = "U", SUMPRODUCT(N([ID]&lt;=NC[[#This Row],[ID]]),N([DATA BASE]=NC[[#This Row],[DATA BASE]]), N(['[D/N']] = "N"),    [LUCRO P/ OP]), 0)</f>
        <v>0</v>
      </c>
      <c r="AI42" s="29">
        <f>IF([U] = "U", SUMPRODUCT(N([DATA BASE]=NC[[#This Row],[DATA BASE]]), N(['[D/N']] = "D"),    [LUCRO P/ OP]), 0)</f>
        <v>0</v>
      </c>
      <c r="AJ42" s="15">
        <f>IF([U] = "U", SUMPRODUCT(N([DATA BASE]=NC[[#This Row],[DATA BASE]]), N(['[D/N']] = "D"),    [IRRF FONTE]), 0)</f>
        <v>0</v>
      </c>
    </row>
    <row r="43" spans="1:36">
      <c r="A43" s="13">
        <v>42</v>
      </c>
      <c r="B43" s="13"/>
      <c r="C43" s="13" t="s">
        <v>76</v>
      </c>
      <c r="D43" s="13" t="s">
        <v>25</v>
      </c>
      <c r="E43" s="14">
        <v>41050</v>
      </c>
      <c r="F43" s="13">
        <v>400</v>
      </c>
      <c r="G43" s="15">
        <v>0</v>
      </c>
      <c r="H43" s="78"/>
      <c r="I43" s="19"/>
      <c r="J43" s="13" t="s">
        <v>6</v>
      </c>
      <c r="K43" s="14">
        <f>WORKDAY(NC[[#This Row],[DATA]],1,0)</f>
        <v>41051</v>
      </c>
      <c r="L43" s="22">
        <f>EOMONTH(NC[[#This Row],[DATA DE LIQUIDAÇÃO]],0)</f>
        <v>41060</v>
      </c>
      <c r="M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3" s="15">
        <f>[QTDE]*[PREÇO]</f>
        <v>0</v>
      </c>
      <c r="O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3" s="15">
        <f>SETUP!$E$3 * IF([PARCIAL] &gt; 0, [QTDE] / [PARCIAL], 1)</f>
        <v>14.9</v>
      </c>
      <c r="T43" s="15">
        <f>SUMPRODUCT(N([DATA]=NC[[#This Row],[DATA]]),N([ID]&lt;=NC[[#This Row],[ID]]), [CORR])</f>
        <v>29.8</v>
      </c>
      <c r="U43" s="15">
        <f>TRUNC([CORRETAGEM]*SETUP!$F$3,2)</f>
        <v>0.59</v>
      </c>
      <c r="V43" s="15">
        <f>ROUND([CORRETAGEM]*SETUP!$G$3,2)</f>
        <v>1.1599999999999999</v>
      </c>
      <c r="W43" s="15">
        <f>[VALOR LÍQUIDO DAS OPERAÇÕES]-[TAXA DE LIQUIDAÇÃO]-[EMOLUMENTOS]-[TAXA DE REGISTRO]-[CORRETAGEM]-[ISS]-IF(['[D/N']]="D",    0,    [OUTRAS BOVESPA]) - [AJUSTE]</f>
        <v>-31.55</v>
      </c>
      <c r="X43" s="15">
        <f>IF(AND(['[D/N']]="D",    [T]="CV",    [LÍQUIDO BASE] &gt; 0),    TRUNC([LÍQUIDO BASE]*0.01, 2),    0)</f>
        <v>0</v>
      </c>
      <c r="Y43" s="15">
        <f>IF([PREÇO] &gt; 0,    [LÍQUIDO BASE]-SUMPRODUCT(N([DATA]=NC[[#This Row],[DATA]]),    [IRRF FONTE]),    0)</f>
        <v>0</v>
      </c>
      <c r="Z43" s="20">
        <f>[LÍQUIDO]-SUMPRODUCT(N([DATA]=NC[[#This Row],[DATA]]),N([ID]=(NC[[#This Row],[ID]]-1)),[LÍQUIDO])</f>
        <v>0</v>
      </c>
      <c r="AA43" s="15">
        <f>IF([T] = "VC", ABS([VALOR OP]) / [QTDE], [VALOR OP]/[QTDE])</f>
        <v>0</v>
      </c>
      <c r="AB43" s="15">
        <f>TRUNC(IF(OR([T]="CV",[T]="VV"),     N43*SETUP!$H$3,     0),2)</f>
        <v>0</v>
      </c>
      <c r="AC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E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G43" s="15">
        <f>IF([LUCRO TMP] &lt;&gt; 0, [LUCRO TMP] - SUMPRODUCT(N([ATIVO]=NC[[#This Row],[ATIVO]]),N(['[D/N']]="N"),N([ID]&lt;NC[[#This Row],[ID]]),N([PAR]=NC[[#This Row],[PAR]]), [LUCRO TMP]), 0)</f>
        <v>-123.89000000000001</v>
      </c>
      <c r="AH43" s="15">
        <f>IF([U] = "U", SUMPRODUCT(N([ID]&lt;=NC[[#This Row],[ID]]),N([DATA BASE]=NC[[#This Row],[DATA BASE]]), N(['[D/N']] = "N"),    [LUCRO P/ OP]), 0)</f>
        <v>0</v>
      </c>
      <c r="AI43" s="15">
        <f>IF([U] = "U", SUMPRODUCT(N([DATA BASE]=NC[[#This Row],[DATA BASE]]), N(['[D/N']] = "D"),    [LUCRO P/ OP]), 0)</f>
        <v>0</v>
      </c>
      <c r="AJ43" s="15">
        <f>IF([U] = "U", SUMPRODUCT(N([DATA BASE]=NC[[#This Row],[DATA BASE]]), N(['[D/N']] = "D"),    [IRRF FONTE]), 0)</f>
        <v>0</v>
      </c>
    </row>
    <row r="44" spans="1:36">
      <c r="A44" s="13">
        <v>43</v>
      </c>
      <c r="B44" s="13"/>
      <c r="C44" s="55" t="s">
        <v>79</v>
      </c>
      <c r="D44" s="13" t="s">
        <v>25</v>
      </c>
      <c r="E44" s="14">
        <v>41050</v>
      </c>
      <c r="F44" s="13">
        <v>100</v>
      </c>
      <c r="G44" s="29">
        <v>0</v>
      </c>
      <c r="H44" s="79"/>
      <c r="I44" s="35"/>
      <c r="J44" s="13" t="s">
        <v>6</v>
      </c>
      <c r="K44" s="14">
        <f>WORKDAY(NC[[#This Row],[DATA]],1,0)</f>
        <v>41051</v>
      </c>
      <c r="L44" s="22">
        <f>EOMONTH(NC[[#This Row],[DATA DE LIQUIDAÇÃO]],0)</f>
        <v>41060</v>
      </c>
      <c r="M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4" s="15">
        <f>[QTDE]*[PREÇO]</f>
        <v>0</v>
      </c>
      <c r="O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4" s="15">
        <f>SETUP!$E$3 * IF([PARCIAL] &gt; 0, [QTDE] / [PARCIAL], 1)</f>
        <v>14.9</v>
      </c>
      <c r="T44" s="15">
        <f>SUMPRODUCT(N([DATA]=NC[[#This Row],[DATA]]),N([ID]&lt;=NC[[#This Row],[ID]]), [CORR])</f>
        <v>44.7</v>
      </c>
      <c r="U44" s="15">
        <f>TRUNC([CORRETAGEM]*SETUP!$F$3,2)</f>
        <v>0.89</v>
      </c>
      <c r="V44" s="15">
        <f>ROUND([CORRETAGEM]*SETUP!$G$3,2)</f>
        <v>1.74</v>
      </c>
      <c r="W44" s="15">
        <f>[VALOR LÍQUIDO DAS OPERAÇÕES]-[TAXA DE LIQUIDAÇÃO]-[EMOLUMENTOS]-[TAXA DE REGISTRO]-[CORRETAGEM]-[ISS]-IF(['[D/N']]="D",    0,    [OUTRAS BOVESPA]) - [AJUSTE]</f>
        <v>-47.330000000000005</v>
      </c>
      <c r="X44" s="15">
        <f>IF(AND(['[D/N']]="D",    [T]="CV",    [LÍQUIDO BASE] &gt; 0),    TRUNC([LÍQUIDO BASE]*0.01, 2),    0)</f>
        <v>0</v>
      </c>
      <c r="Y44" s="15">
        <f>IF([PREÇO] &gt; 0,    [LÍQUIDO BASE]-SUMPRODUCT(N([DATA]=NC[[#This Row],[DATA]]),    [IRRF FONTE]),    0)</f>
        <v>0</v>
      </c>
      <c r="Z44" s="20">
        <f>[LÍQUIDO]-SUMPRODUCT(N([DATA]=NC[[#This Row],[DATA]]),N([ID]=(NC[[#This Row],[ID]]-1)),[LÍQUIDO])</f>
        <v>0</v>
      </c>
      <c r="AA44" s="15">
        <f>IF([T] = "VC", ABS([VALOR OP]) / [QTDE], [VALOR OP]/[QTDE])</f>
        <v>0</v>
      </c>
      <c r="AB44" s="15">
        <f>TRUNC(IF(OR([T]="CV",[T]="VV"),     N44*SETUP!$H$3,     0),2)</f>
        <v>0</v>
      </c>
      <c r="AC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E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4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G44" s="15">
        <f>IF([LUCRO TMP] &lt;&gt; 0, [LUCRO TMP] - SUMPRODUCT(N([ATIVO]=NC[[#This Row],[ATIVO]]),N(['[D/N']]="N"),N([ID]&lt;NC[[#This Row],[ID]]),N([PAR]=NC[[#This Row],[PAR]]), [LUCRO TMP]), 0)</f>
        <v>-45.8</v>
      </c>
      <c r="AH44" s="15">
        <f>IF([U] = "U", SUMPRODUCT(N([ID]&lt;=NC[[#This Row],[ID]]),N([DATA BASE]=NC[[#This Row],[DATA BASE]]), N(['[D/N']] = "N"),    [LUCRO P/ OP]), 0)</f>
        <v>0</v>
      </c>
      <c r="AI44" s="15">
        <f>IF([U] = "U", SUMPRODUCT(N([DATA BASE]=NC[[#This Row],[DATA BASE]]), N(['[D/N']] = "D"),    [LUCRO P/ OP]), 0)</f>
        <v>0</v>
      </c>
      <c r="AJ44" s="15">
        <f>IF([U] = "U", SUMPRODUCT(N([DATA BASE]=NC[[#This Row],[DATA BASE]]), N(['[D/N']] = "D"),    [IRRF FONTE]), 0)</f>
        <v>0</v>
      </c>
    </row>
    <row r="45" spans="1:36">
      <c r="A45" s="13">
        <v>44</v>
      </c>
      <c r="B45" s="43"/>
      <c r="C45" s="55" t="s">
        <v>85</v>
      </c>
      <c r="D45" s="43" t="s">
        <v>25</v>
      </c>
      <c r="E45" s="14">
        <v>41050</v>
      </c>
      <c r="F45" s="43">
        <v>900</v>
      </c>
      <c r="G45" s="42">
        <v>0</v>
      </c>
      <c r="H45" s="76"/>
      <c r="I45" s="49"/>
      <c r="J45" s="43" t="s">
        <v>6</v>
      </c>
      <c r="K45" s="44">
        <f>WORKDAY(NC[[#This Row],[DATA]],1,0)</f>
        <v>41051</v>
      </c>
      <c r="L45" s="45">
        <f>EOMONTH(NC[[#This Row],[DATA DE LIQUIDAÇÃO]],0)</f>
        <v>41060</v>
      </c>
      <c r="M45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5" s="42">
        <f>[QTDE]*[PREÇO]</f>
        <v>0</v>
      </c>
      <c r="O45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45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5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5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5" s="42">
        <f>SETUP!$E$3 * IF([PARCIAL] &gt; 0, [QTDE] / [PARCIAL], 1)</f>
        <v>14.9</v>
      </c>
      <c r="T45" s="42">
        <f>SUMPRODUCT(N([DATA]=NC[[#This Row],[DATA]]),N([ID]&lt;=NC[[#This Row],[ID]]), [CORR])</f>
        <v>59.6</v>
      </c>
      <c r="U45" s="42">
        <f>TRUNC([CORRETAGEM]*SETUP!$F$3,2)</f>
        <v>1.19</v>
      </c>
      <c r="V45" s="42">
        <f>ROUND([CORRETAGEM]*SETUP!$G$3,2)</f>
        <v>2.3199999999999998</v>
      </c>
      <c r="W45" s="42">
        <f>[VALOR LÍQUIDO DAS OPERAÇÕES]-[TAXA DE LIQUIDAÇÃO]-[EMOLUMENTOS]-[TAXA DE REGISTRO]-[CORRETAGEM]-[ISS]-IF(['[D/N']]="D",    0,    [OUTRAS BOVESPA]) - [AJUSTE]</f>
        <v>-63.11</v>
      </c>
      <c r="X45" s="42">
        <f>IF(AND(['[D/N']]="D",    [T]="CV",    [LÍQUIDO BASE] &gt; 0),    TRUNC([LÍQUIDO BASE]*0.01, 2),    0)</f>
        <v>0</v>
      </c>
      <c r="Y45" s="15">
        <f>IF([PREÇO] &gt; 0,    [LÍQUIDO BASE]-SUMPRODUCT(N([DATA]=NC[[#This Row],[DATA]]),    [IRRF FONTE]),    0)</f>
        <v>0</v>
      </c>
      <c r="Z45" s="46">
        <f>[LÍQUIDO]-SUMPRODUCT(N([DATA]=NC[[#This Row],[DATA]]),N([ID]=(NC[[#This Row],[ID]]-1)),[LÍQUIDO])</f>
        <v>0</v>
      </c>
      <c r="AA45" s="42">
        <f>IF([T] = "VC", ABS([VALOR OP]) / [QTDE], [VALOR OP]/[QTDE])</f>
        <v>0</v>
      </c>
      <c r="AB45" s="42">
        <f>TRUNC(IF(OR([T]="CV",[T]="VV"),     N45*SETUP!$H$3,     0),2)</f>
        <v>0</v>
      </c>
      <c r="AC45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5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E45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5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G45" s="42">
        <f>IF([LUCRO TMP] &lt;&gt; 0, [LUCRO TMP] - SUMPRODUCT(N([ATIVO]=NC[[#This Row],[ATIVO]]),N(['[D/N']]="N"),N([ID]&lt;NC[[#This Row],[ID]]),N([PAR]=NC[[#This Row],[PAR]]), [LUCRO TMP]), 0)</f>
        <v>-466.37</v>
      </c>
      <c r="AH45" s="42">
        <f>IF([U] = "U", SUMPRODUCT(N([ID]&lt;=NC[[#This Row],[ID]]),N([DATA BASE]=NC[[#This Row],[DATA BASE]]), N(['[D/N']] = "N"),    [LUCRO P/ OP]), 0)</f>
        <v>0</v>
      </c>
      <c r="AI45" s="42">
        <f>IF([U] = "U", SUMPRODUCT(N([DATA BASE]=NC[[#This Row],[DATA BASE]]), N(['[D/N']] = "D"),    [LUCRO P/ OP]), 0)</f>
        <v>0</v>
      </c>
      <c r="AJ45" s="15">
        <f>IF([U] = "U", SUMPRODUCT(N([DATA BASE]=NC[[#This Row],[DATA BASE]]), N(['[D/N']] = "D"),    [IRRF FONTE]), 0)</f>
        <v>0</v>
      </c>
    </row>
    <row r="46" spans="1:36">
      <c r="A46" s="13">
        <v>45</v>
      </c>
      <c r="B46" s="13"/>
      <c r="C46" s="55" t="s">
        <v>113</v>
      </c>
      <c r="D46" s="43" t="s">
        <v>66</v>
      </c>
      <c r="E46" s="44">
        <v>41051</v>
      </c>
      <c r="F46" s="43">
        <v>1000</v>
      </c>
      <c r="G46" s="42">
        <v>0.94</v>
      </c>
      <c r="H46" s="76"/>
      <c r="I46" s="49"/>
      <c r="J46" s="13" t="s">
        <v>6</v>
      </c>
      <c r="K46" s="44">
        <f>WORKDAY(NC[[#This Row],[DATA]],1,0)</f>
        <v>41052</v>
      </c>
      <c r="L46" s="45">
        <f>EOMONTH(NC[[#This Row],[DATA DE LIQUIDAÇÃO]],0)</f>
        <v>41060</v>
      </c>
      <c r="M46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6" s="42">
        <f>[QTDE]*[PREÇO]</f>
        <v>940</v>
      </c>
      <c r="O46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P46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Q46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R46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S46" s="42">
        <f>SETUP!$E$3 * IF([PARCIAL] &gt; 0, [QTDE] / [PARCIAL], 1)</f>
        <v>14.9</v>
      </c>
      <c r="T46" s="42">
        <f>SUMPRODUCT(N([DATA]=NC[[#This Row],[DATA]]),N([ID]&lt;=NC[[#This Row],[ID]]), [CORR])</f>
        <v>14.9</v>
      </c>
      <c r="U46" s="42">
        <f>TRUNC([CORRETAGEM]*SETUP!$F$3,2)</f>
        <v>0.28999999999999998</v>
      </c>
      <c r="V46" s="42">
        <f>ROUND([CORRETAGEM]*SETUP!$G$3,2)</f>
        <v>0.57999999999999996</v>
      </c>
      <c r="W46" s="42">
        <f>[VALOR LÍQUIDO DAS OPERAÇÕES]-[TAXA DE LIQUIDAÇÃO]-[EMOLUMENTOS]-[TAXA DE REGISTRO]-[CORRETAGEM]-[ISS]-IF(['[D/N']]="D",    0,    [OUTRAS BOVESPA]) - [AJUSTE]</f>
        <v>922.99</v>
      </c>
      <c r="X46" s="42">
        <f>IF(AND(['[D/N']]="D",    [T]="CV",    [LÍQUIDO BASE] &gt; 0),    TRUNC([LÍQUIDO BASE]*0.01, 2),    0)</f>
        <v>0</v>
      </c>
      <c r="Y46" s="15">
        <f>IF([PREÇO] &gt; 0,    [LÍQUIDO BASE]-SUMPRODUCT(N([DATA]=NC[[#This Row],[DATA]]),    [IRRF FONTE]),    0)</f>
        <v>922.99</v>
      </c>
      <c r="Z46" s="46">
        <f>[LÍQUIDO]-SUMPRODUCT(N([DATA]=NC[[#This Row],[DATA]]),N([ID]=(NC[[#This Row],[ID]]-1)),[LÍQUIDO])</f>
        <v>922.99</v>
      </c>
      <c r="AA46" s="42">
        <f>IF([T] = "VC", ABS([VALOR OP]) / [QTDE], [VALOR OP]/[QTDE])</f>
        <v>0.92298999999999998</v>
      </c>
      <c r="AB46" s="42">
        <f>TRUNC(IF(OR([T]="CV",[T]="VV"),     N46*SETUP!$H$3,     0),2)</f>
        <v>0.04</v>
      </c>
      <c r="AC46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D46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46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46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6" s="42">
        <f>IF([LUCRO TMP] &lt;&gt; 0, [LUCRO TMP] - SUMPRODUCT(N([ATIVO]=NC[[#This Row],[ATIVO]]),N(['[D/N']]="N"),N([ID]&lt;NC[[#This Row],[ID]]),N([PAR]=NC[[#This Row],[PAR]]), [LUCRO TMP]), 0)</f>
        <v>0</v>
      </c>
      <c r="AH46" s="42">
        <f>IF([U] = "U", SUMPRODUCT(N([ID]&lt;=NC[[#This Row],[ID]]),N([DATA BASE]=NC[[#This Row],[DATA BASE]]), N(['[D/N']] = "N"),    [LUCRO P/ OP]), 0)</f>
        <v>0</v>
      </c>
      <c r="AI46" s="42">
        <f>IF([U] = "U", SUMPRODUCT(N([DATA BASE]=NC[[#This Row],[DATA BASE]]), N(['[D/N']] = "D"),    [LUCRO P/ OP]), 0)</f>
        <v>0</v>
      </c>
      <c r="AJ46" s="15">
        <f>IF([U] = "U", SUMPRODUCT(N([DATA BASE]=NC[[#This Row],[DATA BASE]]), N(['[D/N']] = "D"),    [IRRF FONTE]), 0)</f>
        <v>0</v>
      </c>
    </row>
    <row r="47" spans="1:36">
      <c r="A47" s="13">
        <v>46</v>
      </c>
      <c r="B47" s="13" t="s">
        <v>49</v>
      </c>
      <c r="C47" s="55" t="s">
        <v>114</v>
      </c>
      <c r="D47" s="13" t="s">
        <v>24</v>
      </c>
      <c r="E47" s="14">
        <v>41051</v>
      </c>
      <c r="F47" s="13">
        <v>1000</v>
      </c>
      <c r="G47" s="15">
        <v>0.45</v>
      </c>
      <c r="H47" s="78"/>
      <c r="I47" s="19"/>
      <c r="J47" s="13" t="s">
        <v>6</v>
      </c>
      <c r="K47" s="14">
        <f>WORKDAY(NC[[#This Row],[DATA]],1,0)</f>
        <v>41052</v>
      </c>
      <c r="L47" s="56">
        <f>EOMONTH(NC[[#This Row],[DATA DE LIQUIDAÇÃO]],0)</f>
        <v>41060</v>
      </c>
      <c r="M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7" s="15">
        <f>[QTDE]*[PREÇO]</f>
        <v>450</v>
      </c>
      <c r="O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P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Q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R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S47" s="15">
        <f>SETUP!$E$3 * IF([PARCIAL] &gt; 0, [QTDE] / [PARCIAL], 1)</f>
        <v>14.9</v>
      </c>
      <c r="T47" s="15">
        <f>SUMPRODUCT(N([DATA]=NC[[#This Row],[DATA]]),N([ID]&lt;=NC[[#This Row],[ID]]), [CORR])</f>
        <v>29.8</v>
      </c>
      <c r="U47" s="15">
        <f>TRUNC([CORRETAGEM]*SETUP!$F$3,2)</f>
        <v>0.59</v>
      </c>
      <c r="V47" s="15">
        <f>ROUND([CORRETAGEM]*SETUP!$G$3,2)</f>
        <v>1.1599999999999999</v>
      </c>
      <c r="W47" s="15">
        <f>[VALOR LÍQUIDO DAS OPERAÇÕES]-[TAXA DE LIQUIDAÇÃO]-[EMOLUMENTOS]-[TAXA DE REGISTRO]-[CORRETAGEM]-[ISS]-IF(['[D/N']]="D",    0,    [OUTRAS BOVESPA]) - [AJUSTE]</f>
        <v>456.6</v>
      </c>
      <c r="X47" s="15">
        <f>IF(AND(['[D/N']]="D",    [T]="CV",    [LÍQUIDO BASE] &gt; 0),    TRUNC([LÍQUIDO BASE]*0.01, 2),    0)</f>
        <v>0</v>
      </c>
      <c r="Y47" s="15">
        <f>IF([PREÇO] &gt; 0,    [LÍQUIDO BASE]-SUMPRODUCT(N([DATA]=NC[[#This Row],[DATA]]),    [IRRF FONTE]),    0)</f>
        <v>456.6</v>
      </c>
      <c r="Z47" s="20">
        <f>[LÍQUIDO]-SUMPRODUCT(N([DATA]=NC[[#This Row],[DATA]]),N([ID]=(NC[[#This Row],[ID]]-1)),[LÍQUIDO])</f>
        <v>-466.39</v>
      </c>
      <c r="AA47" s="15">
        <f>IF([T] = "VC", ABS([VALOR OP]) / [QTDE], [VALOR OP]/[QTDE])</f>
        <v>-0.46638999999999997</v>
      </c>
      <c r="AB47" s="15">
        <f>TRUNC(IF(OR([T]="CV",[T]="VV"),     N47*SETUP!$H$3,     0),2)</f>
        <v>0</v>
      </c>
      <c r="AC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D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7" s="15">
        <f>IF([LUCRO TMP] &lt;&gt; 0, [LUCRO TMP] - SUMPRODUCT(N([ATIVO]=NC[[#This Row],[ATIVO]]),N(['[D/N']]="N"),N([ID]&lt;NC[[#This Row],[ID]]),N([PAR]=NC[[#This Row],[PAR]]), [LUCRO TMP]), 0)</f>
        <v>0</v>
      </c>
      <c r="AH47" s="15">
        <f>IF([U] = "U", SUMPRODUCT(N([ID]&lt;=NC[[#This Row],[ID]]),N([DATA BASE]=NC[[#This Row],[DATA BASE]]), N(['[D/N']] = "N"),    [LUCRO P/ OP]), 0)</f>
        <v>431.77000000000021</v>
      </c>
      <c r="AI47" s="15">
        <f>IF([U] = "U", SUMPRODUCT(N([DATA BASE]=NC[[#This Row],[DATA BASE]]), N(['[D/N']] = "D"),    [LUCRO P/ OP]), 0)</f>
        <v>0</v>
      </c>
      <c r="AJ47" s="15">
        <f>IF([U] = "U", SUMPRODUCT(N([DATA BASE]=NC[[#This Row],[DATA BASE]]), N(['[D/N']] = "D"),    [IRRF FONTE]), 0)</f>
        <v>0</v>
      </c>
    </row>
    <row r="48" spans="1:36">
      <c r="A48" s="13">
        <v>47</v>
      </c>
      <c r="B48" s="43"/>
      <c r="C48" s="43" t="s">
        <v>116</v>
      </c>
      <c r="D48" s="43" t="s">
        <v>24</v>
      </c>
      <c r="E48" s="44">
        <v>41068</v>
      </c>
      <c r="F48" s="43">
        <v>1600</v>
      </c>
      <c r="G48" s="42">
        <v>0.78</v>
      </c>
      <c r="H48" s="76"/>
      <c r="I48" s="49"/>
      <c r="J48" s="43" t="s">
        <v>6</v>
      </c>
      <c r="K48" s="44">
        <f>WORKDAY(NC[[#This Row],[DATA]],1,0)</f>
        <v>41071</v>
      </c>
      <c r="L48" s="64">
        <f>EOMONTH(NC[[#This Row],[DATA DE LIQUIDAÇÃO]],0)</f>
        <v>41090</v>
      </c>
      <c r="M48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8" s="42">
        <f>[QTDE]*[PREÇO]</f>
        <v>1248</v>
      </c>
      <c r="O48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-1248</v>
      </c>
      <c r="P48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48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0.46</v>
      </c>
      <c r="R48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0.86</v>
      </c>
      <c r="S48" s="42">
        <f>SETUP!$E$3 * IF([PARCIAL] &gt; 0, [QTDE] / [PARCIAL], 1)</f>
        <v>14.9</v>
      </c>
      <c r="T48" s="42">
        <f>SUMPRODUCT(N([DATA]=NC[[#This Row],[DATA]]),N([ID]&lt;=NC[[#This Row],[ID]]), [CORR])</f>
        <v>14.9</v>
      </c>
      <c r="U48" s="42">
        <f>TRUNC([CORRETAGEM]*SETUP!$F$3,2)</f>
        <v>0.28999999999999998</v>
      </c>
      <c r="V48" s="42">
        <f>ROUND([CORRETAGEM]*SETUP!$G$3,2)</f>
        <v>0.57999999999999996</v>
      </c>
      <c r="W48" s="42">
        <f>[VALOR LÍQUIDO DAS OPERAÇÕES]-[TAXA DE LIQUIDAÇÃO]-[EMOLUMENTOS]-[TAXA DE REGISTRO]-[CORRETAGEM]-[ISS]-IF(['[D/N']]="D",    0,    [OUTRAS BOVESPA]) - [AJUSTE]</f>
        <v>-1265.4299999999998</v>
      </c>
      <c r="X48" s="42">
        <f>IF(AND(['[D/N']]="D",    [T]="CV",    [LÍQUIDO BASE] &gt; 0),    TRUNC([LÍQUIDO BASE]*0.01, 2),    0)</f>
        <v>0</v>
      </c>
      <c r="Y48" s="15">
        <f>IF([PREÇO] &gt; 0,    [LÍQUIDO BASE]-SUMPRODUCT(N([DATA]=NC[[#This Row],[DATA]]),    [IRRF FONTE]),    0)</f>
        <v>-1265.4299999999998</v>
      </c>
      <c r="Z48" s="46">
        <f>[LÍQUIDO]-SUMPRODUCT(N([DATA]=NC[[#This Row],[DATA]]),N([ID]=(NC[[#This Row],[ID]]-1)),[LÍQUIDO])</f>
        <v>-1265.4299999999998</v>
      </c>
      <c r="AA48" s="42">
        <f>IF([T] = "VC", ABS([VALOR OP]) / [QTDE], [VALOR OP]/[QTDE])</f>
        <v>-0.79089374999999995</v>
      </c>
      <c r="AB48" s="42">
        <f>TRUNC(IF(OR([T]="CV",[T]="VV"),     N48*SETUP!$H$3,     0),2)</f>
        <v>0</v>
      </c>
      <c r="AC48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48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48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48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48" s="42">
        <f>IF([LUCRO TMP] &lt;&gt; 0, [LUCRO TMP] - SUMPRODUCT(N([ATIVO]=NC[[#This Row],[ATIVO]]),N(['[D/N']]="N"),N([ID]&lt;NC[[#This Row],[ID]]),N([PAR]=NC[[#This Row],[PAR]]), [LUCRO TMP]), 0)</f>
        <v>0</v>
      </c>
      <c r="AH48" s="42">
        <f>IF([U] = "U", SUMPRODUCT(N([ID]&lt;=NC[[#This Row],[ID]]),N([DATA BASE]=NC[[#This Row],[DATA BASE]]), N(['[D/N']] = "N"),    [LUCRO P/ OP]), 0)</f>
        <v>0</v>
      </c>
      <c r="AI48" s="42">
        <f>IF([U] = "U", SUMPRODUCT(N([DATA BASE]=NC[[#This Row],[DATA BASE]]), N(['[D/N']] = "D"),    [LUCRO P/ OP]), 0)</f>
        <v>0</v>
      </c>
      <c r="AJ48" s="15">
        <f>IF([U] = "U", SUMPRODUCT(N([DATA BASE]=NC[[#This Row],[DATA BASE]]), N(['[D/N']] = "D"),    [IRRF FONTE]), 0)</f>
        <v>0</v>
      </c>
    </row>
    <row r="49" spans="1:36">
      <c r="A49" s="13">
        <v>48</v>
      </c>
      <c r="B49" s="13"/>
      <c r="C49" s="55" t="s">
        <v>105</v>
      </c>
      <c r="D49" s="13" t="s">
        <v>67</v>
      </c>
      <c r="E49" s="14">
        <v>41073</v>
      </c>
      <c r="F49" s="13">
        <v>200</v>
      </c>
      <c r="G49" s="15">
        <v>0.01</v>
      </c>
      <c r="H49" s="78"/>
      <c r="I49" s="19"/>
      <c r="J49" s="13" t="s">
        <v>6</v>
      </c>
      <c r="K49" s="14">
        <f>WORKDAY(NC[[#This Row],[DATA]],1,0)</f>
        <v>41074</v>
      </c>
      <c r="L49" s="56">
        <f>EOMONTH(NC[[#This Row],[DATA DE LIQUIDAÇÃO]],0)</f>
        <v>41090</v>
      </c>
      <c r="M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49" s="15">
        <f>[QTDE]*[PREÇO]</f>
        <v>2</v>
      </c>
      <c r="O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</v>
      </c>
      <c r="P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49" s="15">
        <f>SETUP!$E$3 * IF([PARCIAL] &gt; 0, [QTDE] / [PARCIAL], 1)</f>
        <v>14.9</v>
      </c>
      <c r="T49" s="15">
        <f>SUMPRODUCT(N([DATA]=NC[[#This Row],[DATA]]),N([ID]&lt;=NC[[#This Row],[ID]]), [CORR])</f>
        <v>14.9</v>
      </c>
      <c r="U49" s="15">
        <f>TRUNC([CORRETAGEM]*SETUP!$F$3,2)</f>
        <v>0.28999999999999998</v>
      </c>
      <c r="V49" s="15">
        <f>ROUND([CORRETAGEM]*SETUP!$G$3,2)</f>
        <v>0.57999999999999996</v>
      </c>
      <c r="W49" s="15">
        <f>[VALOR LÍQUIDO DAS OPERAÇÕES]-[TAXA DE LIQUIDAÇÃO]-[EMOLUMENTOS]-[TAXA DE REGISTRO]-[CORRETAGEM]-[ISS]-IF(['[D/N']]="D",    0,    [OUTRAS BOVESPA]) - [AJUSTE]</f>
        <v>-17.769999999999996</v>
      </c>
      <c r="X49" s="15">
        <f>IF(AND(['[D/N']]="D",    [T]="CV",    [LÍQUIDO BASE] &gt; 0),    TRUNC([LÍQUIDO BASE]*0.01, 2),    0)</f>
        <v>0</v>
      </c>
      <c r="Y49" s="15">
        <f>IF([PREÇO] &gt; 0,    [LÍQUIDO BASE]-SUMPRODUCT(N([DATA]=NC[[#This Row],[DATA]]),    [IRRF FONTE]),    0)</f>
        <v>-17.769999999999996</v>
      </c>
      <c r="Z49" s="20">
        <f>[LÍQUIDO]-SUMPRODUCT(N([DATA]=NC[[#This Row],[DATA]]),N([ID]=(NC[[#This Row],[ID]]-1)),[LÍQUIDO])</f>
        <v>-17.769999999999996</v>
      </c>
      <c r="AA49" s="15">
        <f>IF([T] = "VC", ABS([VALOR OP]) / [QTDE], [VALOR OP]/[QTDE])</f>
        <v>8.8849999999999985E-2</v>
      </c>
      <c r="AB49" s="15">
        <f>TRUNC(IF(OR([T]="CV",[T]="VV"),     N49*SETUP!$H$3,     0),2)</f>
        <v>0</v>
      </c>
      <c r="AC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8.8849999999999985E-2</v>
      </c>
      <c r="AE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F4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240.08000000000004</v>
      </c>
      <c r="AG49" s="15">
        <f>IF([LUCRO TMP] &lt;&gt; 0, [LUCRO TMP] - SUMPRODUCT(N([ATIVO]=NC[[#This Row],[ATIVO]]),N(['[D/N']]="N"),N([ID]&lt;NC[[#This Row],[ID]]),N([PAR]=NC[[#This Row],[PAR]]), [LUCRO TMP]), 0)</f>
        <v>240.08000000000004</v>
      </c>
      <c r="AH49" s="15">
        <f>IF([U] = "U", SUMPRODUCT(N([ID]&lt;=NC[[#This Row],[ID]]),N([DATA BASE]=NC[[#This Row],[DATA BASE]]), N(['[D/N']] = "N"),    [LUCRO P/ OP]), 0)</f>
        <v>0</v>
      </c>
      <c r="AI49" s="15">
        <f>IF([U] = "U", SUMPRODUCT(N([DATA BASE]=NC[[#This Row],[DATA BASE]]), N(['[D/N']] = "D"),    [LUCRO P/ OP]), 0)</f>
        <v>0</v>
      </c>
      <c r="AJ49" s="15">
        <f>IF([U] = "U", SUMPRODUCT(N([DATA BASE]=NC[[#This Row],[DATA BASE]]), N(['[D/N']] = "D"),    [IRRF FONTE]), 0)</f>
        <v>0</v>
      </c>
    </row>
    <row r="50" spans="1:36">
      <c r="A50" s="13">
        <v>49</v>
      </c>
      <c r="B50" s="13"/>
      <c r="C50" s="55" t="s">
        <v>113</v>
      </c>
      <c r="D50" s="13" t="s">
        <v>67</v>
      </c>
      <c r="E50" s="14">
        <v>41074</v>
      </c>
      <c r="F50" s="13">
        <v>1000</v>
      </c>
      <c r="G50" s="15">
        <v>0.01</v>
      </c>
      <c r="H50" s="78"/>
      <c r="I50" s="19"/>
      <c r="J50" s="13" t="s">
        <v>6</v>
      </c>
      <c r="K50" s="14">
        <f>WORKDAY(NC[[#This Row],[DATA]],1,0)</f>
        <v>41075</v>
      </c>
      <c r="L50" s="56">
        <f>EOMONTH(NC[[#This Row],[DATA DE LIQUIDAÇÃO]],0)</f>
        <v>41090</v>
      </c>
      <c r="M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0" s="15">
        <f>[QTDE]*[PREÇO]</f>
        <v>10</v>
      </c>
      <c r="O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</v>
      </c>
      <c r="P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0" s="15">
        <f>SETUP!$E$3 * IF([PARCIAL] &gt; 0, [QTDE] / [PARCIAL], 1)</f>
        <v>14.9</v>
      </c>
      <c r="T50" s="15">
        <f>SUMPRODUCT(N([DATA]=NC[[#This Row],[DATA]]),N([ID]&lt;=NC[[#This Row],[ID]]), [CORR])</f>
        <v>14.9</v>
      </c>
      <c r="U50" s="15">
        <f>TRUNC([CORRETAGEM]*SETUP!$F$3,2)</f>
        <v>0.28999999999999998</v>
      </c>
      <c r="V50" s="15">
        <f>ROUND([CORRETAGEM]*SETUP!$G$3,2)</f>
        <v>0.57999999999999996</v>
      </c>
      <c r="W50" s="15">
        <f>[VALOR LÍQUIDO DAS OPERAÇÕES]-[TAXA DE LIQUIDAÇÃO]-[EMOLUMENTOS]-[TAXA DE REGISTRO]-[CORRETAGEM]-[ISS]-IF(['[D/N']]="D",    0,    [OUTRAS BOVESPA]) - [AJUSTE]</f>
        <v>-25.769999999999996</v>
      </c>
      <c r="X50" s="15">
        <f>IF(AND(['[D/N']]="D",    [T]="CV",    [LÍQUIDO BASE] &gt; 0),    TRUNC([LÍQUIDO BASE]*0.01, 2),    0)</f>
        <v>0</v>
      </c>
      <c r="Y50" s="15">
        <f>IF([PREÇO] &gt; 0,    [LÍQUIDO BASE]-SUMPRODUCT(N([DATA]=NC[[#This Row],[DATA]]),    [IRRF FONTE]),    0)</f>
        <v>-25.769999999999996</v>
      </c>
      <c r="Z50" s="20">
        <f>[LÍQUIDO]-SUMPRODUCT(N([DATA]=NC[[#This Row],[DATA]]),N([ID]=(NC[[#This Row],[ID]]-1)),[LÍQUIDO])</f>
        <v>-25.769999999999996</v>
      </c>
      <c r="AA50" s="15">
        <f>IF([T] = "VC", ABS([VALOR OP]) / [QTDE], [VALOR OP]/[QTDE])</f>
        <v>2.5769999999999994E-2</v>
      </c>
      <c r="AB50" s="15">
        <f>TRUNC(IF(OR([T]="CV",[T]="VV"),     N50*SETUP!$H$3,     0),2)</f>
        <v>0</v>
      </c>
      <c r="AC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2.5769999999999994E-2</v>
      </c>
      <c r="AE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F5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897.22</v>
      </c>
      <c r="AG50" s="15">
        <f>IF([LUCRO TMP] &lt;&gt; 0, [LUCRO TMP] - SUMPRODUCT(N([ATIVO]=NC[[#This Row],[ATIVO]]),N(['[D/N']]="N"),N([ID]&lt;NC[[#This Row],[ID]]),N([PAR]=NC[[#This Row],[PAR]]), [LUCRO TMP]), 0)</f>
        <v>897.22</v>
      </c>
      <c r="AH50" s="15">
        <f>IF([U] = "U", SUMPRODUCT(N([ID]&lt;=NC[[#This Row],[ID]]),N([DATA BASE]=NC[[#This Row],[DATA BASE]]), N(['[D/N']] = "N"),    [LUCRO P/ OP]), 0)</f>
        <v>0</v>
      </c>
      <c r="AI50" s="15">
        <f>IF([U] = "U", SUMPRODUCT(N([DATA BASE]=NC[[#This Row],[DATA BASE]]), N(['[D/N']] = "D"),    [LUCRO P/ OP]), 0)</f>
        <v>0</v>
      </c>
      <c r="AJ50" s="15">
        <f>IF([U] = "U", SUMPRODUCT(N([DATA BASE]=NC[[#This Row],[DATA BASE]]), N(['[D/N']] = "D"),    [IRRF FONTE]), 0)</f>
        <v>0</v>
      </c>
    </row>
    <row r="51" spans="1:36">
      <c r="A51" s="13">
        <v>50</v>
      </c>
      <c r="B51" s="43"/>
      <c r="C51" s="43" t="s">
        <v>116</v>
      </c>
      <c r="D51" s="43" t="s">
        <v>25</v>
      </c>
      <c r="E51" s="44">
        <v>41075</v>
      </c>
      <c r="F51" s="43">
        <v>1600</v>
      </c>
      <c r="G51" s="42">
        <v>1.29</v>
      </c>
      <c r="H51" s="78"/>
      <c r="I51" s="19"/>
      <c r="J51" s="43" t="s">
        <v>6</v>
      </c>
      <c r="K51" s="44">
        <f>WORKDAY(NC[[#This Row],[DATA]],1,0)</f>
        <v>41078</v>
      </c>
      <c r="L51" s="64">
        <f>EOMONTH(NC[[#This Row],[DATA DE LIQUIDAÇÃO]],0)</f>
        <v>41090</v>
      </c>
      <c r="M51" s="4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1" s="42">
        <f>[QTDE]*[PREÇO]</f>
        <v>2064</v>
      </c>
      <c r="O51" s="42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2064</v>
      </c>
      <c r="P51" s="42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0.56000000000000005</v>
      </c>
      <c r="Q51" s="42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0.76</v>
      </c>
      <c r="R51" s="42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1.43</v>
      </c>
      <c r="S51" s="42">
        <f>SETUP!$E$3 * IF([PARCIAL] &gt; 0, [QTDE] / [PARCIAL], 1)</f>
        <v>14.9</v>
      </c>
      <c r="T51" s="42">
        <f>SUMPRODUCT(N([DATA]=NC[[#This Row],[DATA]]),N([ID]&lt;=NC[[#This Row],[ID]]), [CORR])</f>
        <v>14.9</v>
      </c>
      <c r="U51" s="42">
        <f>TRUNC([CORRETAGEM]*SETUP!$F$3,2)</f>
        <v>0.28999999999999998</v>
      </c>
      <c r="V51" s="42">
        <f>ROUND([CORRETAGEM]*SETUP!$G$3,2)</f>
        <v>0.57999999999999996</v>
      </c>
      <c r="W51" s="42">
        <f>[VALOR LÍQUIDO DAS OPERAÇÕES]-[TAXA DE LIQUIDAÇÃO]-[EMOLUMENTOS]-[TAXA DE REGISTRO]-[CORRETAGEM]-[ISS]-IF(['[D/N']]="D",    0,    [OUTRAS BOVESPA]) - [AJUSTE]</f>
        <v>2045.48</v>
      </c>
      <c r="X51" s="42">
        <f>IF(AND(['[D/N']]="D",    [T]="CV",    [LÍQUIDO BASE] &gt; 0),    TRUNC([LÍQUIDO BASE]*0.01, 2),    0)</f>
        <v>0</v>
      </c>
      <c r="Y51" s="15">
        <f>IF([PREÇO] &gt; 0,    [LÍQUIDO BASE]-SUMPRODUCT(N([DATA]=NC[[#This Row],[DATA]]),    [IRRF FONTE]),    0)</f>
        <v>2045.48</v>
      </c>
      <c r="Z51" s="46">
        <f>[LÍQUIDO]-SUMPRODUCT(N([DATA]=NC[[#This Row],[DATA]]),N([ID]=(NC[[#This Row],[ID]]-1)),[LÍQUIDO])</f>
        <v>2045.48</v>
      </c>
      <c r="AA51" s="42">
        <f>IF([T] = "VC", ABS([VALOR OP]) / [QTDE], [VALOR OP]/[QTDE])</f>
        <v>1.2784249999999999</v>
      </c>
      <c r="AB51" s="42">
        <f>TRUNC(IF(OR([T]="CV",[T]="VV"),     N51*SETUP!$H$3,     0),2)</f>
        <v>0.1</v>
      </c>
      <c r="AC51" s="4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1" s="47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0.79089374999999995</v>
      </c>
      <c r="AE51" s="47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1.2784249999999999</v>
      </c>
      <c r="AF51" s="4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780.05</v>
      </c>
      <c r="AG51" s="42">
        <f>IF([LUCRO TMP] &lt;&gt; 0, [LUCRO TMP] - SUMPRODUCT(N([ATIVO]=NC[[#This Row],[ATIVO]]),N(['[D/N']]="N"),N([ID]&lt;NC[[#This Row],[ID]]),N([PAR]=NC[[#This Row],[PAR]]), [LUCRO TMP]), 0)</f>
        <v>780.05</v>
      </c>
      <c r="AH51" s="42">
        <f>IF([U] = "U", SUMPRODUCT(N([ID]&lt;=NC[[#This Row],[ID]]),N([DATA BASE]=NC[[#This Row],[DATA BASE]]), N(['[D/N']] = "N"),    [LUCRO P/ OP]), 0)</f>
        <v>0</v>
      </c>
      <c r="AI51" s="42">
        <f>IF([U] = "U", SUMPRODUCT(N([DATA BASE]=NC[[#This Row],[DATA BASE]]), N(['[D/N']] = "D"),    [LUCRO P/ OP]), 0)</f>
        <v>0</v>
      </c>
      <c r="AJ51" s="15">
        <f>IF([U] = "U", SUMPRODUCT(N([DATA BASE]=NC[[#This Row],[DATA BASE]]), N(['[D/N']] = "D"),    [IRRF FONTE]), 0)</f>
        <v>0</v>
      </c>
    </row>
    <row r="52" spans="1:36">
      <c r="A52" s="13">
        <v>51</v>
      </c>
      <c r="B52" s="43"/>
      <c r="C52" s="55" t="s">
        <v>117</v>
      </c>
      <c r="D52" s="13" t="s">
        <v>66</v>
      </c>
      <c r="E52" s="44">
        <v>41075</v>
      </c>
      <c r="F52" s="43">
        <v>1100</v>
      </c>
      <c r="G52" s="42">
        <v>1.41</v>
      </c>
      <c r="H52" s="76"/>
      <c r="I52" s="49"/>
      <c r="J52" s="43" t="s">
        <v>6</v>
      </c>
      <c r="K52" s="66">
        <f>WORKDAY(NC[[#This Row],[DATA]],1,0)</f>
        <v>41078</v>
      </c>
      <c r="L52" s="68">
        <f>EOMONTH(NC[[#This Row],[DATA DE LIQUIDAÇÃO]],0)</f>
        <v>41090</v>
      </c>
      <c r="M52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2" s="67">
        <f>[QTDE]*[PREÇO]</f>
        <v>1551</v>
      </c>
      <c r="O52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3615</v>
      </c>
      <c r="P52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52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52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52" s="67">
        <f>SETUP!$E$3 * IF([PARCIAL] &gt; 0, [QTDE] / [PARCIAL], 1)</f>
        <v>14.9</v>
      </c>
      <c r="T52" s="67">
        <f>SUMPRODUCT(N([DATA]=NC[[#This Row],[DATA]]),N([ID]&lt;=NC[[#This Row],[ID]]), [CORR])</f>
        <v>29.8</v>
      </c>
      <c r="U52" s="67">
        <f>TRUNC([CORRETAGEM]*SETUP!$F$3,2)</f>
        <v>0.59</v>
      </c>
      <c r="V52" s="67">
        <f>ROUND([CORRETAGEM]*SETUP!$G$3,2)</f>
        <v>1.1599999999999999</v>
      </c>
      <c r="W52" s="67">
        <f>[VALOR LÍQUIDO DAS OPERAÇÕES]-[TAXA DE LIQUIDAÇÃO]-[EMOLUMENTOS]-[TAXA DE REGISTRO]-[CORRETAGEM]-[ISS]-IF(['[D/N']]="D",    0,    [OUTRAS BOVESPA]) - [AJUSTE]</f>
        <v>3578.62</v>
      </c>
      <c r="X52" s="67">
        <f>IF(AND(['[D/N']]="D",    [T]="CV",    [LÍQUIDO BASE] &gt; 0),    TRUNC([LÍQUIDO BASE]*0.01, 2),    0)</f>
        <v>0</v>
      </c>
      <c r="Y52" s="15">
        <f>IF([PREÇO] &gt; 0,    [LÍQUIDO BASE]-SUMPRODUCT(N([DATA]=NC[[#This Row],[DATA]]),    [IRRF FONTE]),    0)</f>
        <v>3578.62</v>
      </c>
      <c r="Z52" s="69">
        <f>[LÍQUIDO]-SUMPRODUCT(N([DATA]=NC[[#This Row],[DATA]]),N([ID]=(NC[[#This Row],[ID]]-1)),[LÍQUIDO])</f>
        <v>1533.1399999999999</v>
      </c>
      <c r="AA52" s="67">
        <f>IF([T] = "VC", ABS([VALOR OP]) / [QTDE], [VALOR OP]/[QTDE])</f>
        <v>1.3937636363636363</v>
      </c>
      <c r="AB52" s="67">
        <f>TRUNC(IF(OR([T]="CV",[T]="VV"),     N52*SETUP!$H$3,     0),2)</f>
        <v>7.0000000000000007E-2</v>
      </c>
      <c r="AC52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-1100</v>
      </c>
      <c r="AD52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52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2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2" s="67">
        <f>IF([LUCRO TMP] &lt;&gt; 0, [LUCRO TMP] - SUMPRODUCT(N([ATIVO]=NC[[#This Row],[ATIVO]]),N(['[D/N']]="N"),N([ID]&lt;NC[[#This Row],[ID]]),N([PAR]=NC[[#This Row],[PAR]]), [LUCRO TMP]), 0)</f>
        <v>0</v>
      </c>
      <c r="AH52" s="67">
        <f>IF([U] = "U", SUMPRODUCT(N([ID]&lt;=NC[[#This Row],[ID]]),N([DATA BASE]=NC[[#This Row],[DATA BASE]]), N(['[D/N']] = "N"),    [LUCRO P/ OP]), 0)</f>
        <v>0</v>
      </c>
      <c r="AI52" s="67">
        <f>IF([U] = "U", SUMPRODUCT(N([DATA BASE]=NC[[#This Row],[DATA BASE]]), N(['[D/N']] = "D"),    [LUCRO P/ OP]), 0)</f>
        <v>0</v>
      </c>
      <c r="AJ52" s="15">
        <f>IF([U] = "U", SUMPRODUCT(N([DATA BASE]=NC[[#This Row],[DATA BASE]]), N(['[D/N']] = "D"),    [IRRF FONTE]), 0)</f>
        <v>0</v>
      </c>
    </row>
    <row r="53" spans="1:36">
      <c r="A53" s="13">
        <v>52</v>
      </c>
      <c r="B53" s="43"/>
      <c r="C53" s="55" t="s">
        <v>118</v>
      </c>
      <c r="D53" s="13" t="s">
        <v>24</v>
      </c>
      <c r="E53" s="44">
        <v>41075</v>
      </c>
      <c r="F53" s="43">
        <v>1100</v>
      </c>
      <c r="G53" s="42">
        <v>0.88</v>
      </c>
      <c r="H53" s="76"/>
      <c r="I53" s="49"/>
      <c r="J53" s="43" t="s">
        <v>6</v>
      </c>
      <c r="K53" s="66">
        <f>WORKDAY(NC[[#This Row],[DATA]],1,0)</f>
        <v>41078</v>
      </c>
      <c r="L53" s="68">
        <f>EOMONTH(NC[[#This Row],[DATA DE LIQUIDAÇÃO]],0)</f>
        <v>41090</v>
      </c>
      <c r="M53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3" s="67">
        <f>[QTDE]*[PREÇO]</f>
        <v>968</v>
      </c>
      <c r="O53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2647</v>
      </c>
      <c r="P53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1.26</v>
      </c>
      <c r="Q53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1.69</v>
      </c>
      <c r="R53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3.18</v>
      </c>
      <c r="S53" s="67">
        <f>SETUP!$E$3 * IF([PARCIAL] &gt; 0, [QTDE] / [PARCIAL], 1)</f>
        <v>14.9</v>
      </c>
      <c r="T53" s="67">
        <f>SUMPRODUCT(N([DATA]=NC[[#This Row],[DATA]]),N([ID]&lt;=NC[[#This Row],[ID]]), [CORR])</f>
        <v>44.7</v>
      </c>
      <c r="U53" s="67">
        <f>TRUNC([CORRETAGEM]*SETUP!$F$3,2)</f>
        <v>0.89</v>
      </c>
      <c r="V53" s="67">
        <f>ROUND([CORRETAGEM]*SETUP!$G$3,2)</f>
        <v>1.74</v>
      </c>
      <c r="W53" s="67">
        <f>[VALOR LÍQUIDO DAS OPERAÇÕES]-[TAXA DE LIQUIDAÇÃO]-[EMOLUMENTOS]-[TAXA DE REGISTRO]-[CORRETAGEM]-[ISS]-IF(['[D/N']]="D",    0,    [OUTRAS BOVESPA]) - [AJUSTE]</f>
        <v>2593.5400000000004</v>
      </c>
      <c r="X53" s="67">
        <f>IF(AND(['[D/N']]="D",    [T]="CV",    [LÍQUIDO BASE] &gt; 0),    TRUNC([LÍQUIDO BASE]*0.01, 2),    0)</f>
        <v>0</v>
      </c>
      <c r="Y53" s="15">
        <f>IF([PREÇO] &gt; 0,    [LÍQUIDO BASE]-SUMPRODUCT(N([DATA]=NC[[#This Row],[DATA]]),    [IRRF FONTE]),    0)</f>
        <v>2593.5400000000004</v>
      </c>
      <c r="Z53" s="69">
        <f>[LÍQUIDO]-SUMPRODUCT(N([DATA]=NC[[#This Row],[DATA]]),N([ID]=(NC[[#This Row],[ID]]-1)),[LÍQUIDO])</f>
        <v>-985.07999999999947</v>
      </c>
      <c r="AA53" s="67">
        <f>IF([T] = "VC", ABS([VALOR OP]) / [QTDE], [VALOR OP]/[QTDE])</f>
        <v>-0.89552727272727228</v>
      </c>
      <c r="AB53" s="67">
        <f>TRUNC(IF(OR([T]="CV",[T]="VV"),     N53*SETUP!$H$3,     0),2)</f>
        <v>0</v>
      </c>
      <c r="AC53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1100</v>
      </c>
      <c r="AD53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3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3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3" s="67">
        <f>IF([LUCRO TMP] &lt;&gt; 0, [LUCRO TMP] - SUMPRODUCT(N([ATIVO]=NC[[#This Row],[ATIVO]]),N(['[D/N']]="N"),N([ID]&lt;NC[[#This Row],[ID]]),N([PAR]=NC[[#This Row],[PAR]]), [LUCRO TMP]), 0)</f>
        <v>0</v>
      </c>
      <c r="AH53" s="67">
        <f>IF([U] = "U", SUMPRODUCT(N([ID]&lt;=NC[[#This Row],[ID]]),N([DATA BASE]=NC[[#This Row],[DATA BASE]]), N(['[D/N']] = "N"),    [LUCRO P/ OP]), 0)</f>
        <v>0</v>
      </c>
      <c r="AI53" s="67">
        <f>IF([U] = "U", SUMPRODUCT(N([DATA BASE]=NC[[#This Row],[DATA BASE]]), N(['[D/N']] = "D"),    [LUCRO P/ OP]), 0)</f>
        <v>0</v>
      </c>
      <c r="AJ53" s="15">
        <f>IF([U] = "U", SUMPRODUCT(N([DATA BASE]=NC[[#This Row],[DATA BASE]]), N(['[D/N']] = "D"),    [IRRF FONTE]), 0)</f>
        <v>0</v>
      </c>
    </row>
    <row r="54" spans="1:36">
      <c r="A54" s="13">
        <v>53</v>
      </c>
      <c r="B54" s="13"/>
      <c r="C54" s="55" t="s">
        <v>117</v>
      </c>
      <c r="D54" s="13" t="s">
        <v>24</v>
      </c>
      <c r="E54" s="44">
        <v>41078</v>
      </c>
      <c r="F54" s="43">
        <v>500</v>
      </c>
      <c r="G54" s="42">
        <v>1.89</v>
      </c>
      <c r="H54" s="76">
        <v>1600</v>
      </c>
      <c r="I54" s="49"/>
      <c r="J54" s="13" t="s">
        <v>14</v>
      </c>
      <c r="K54" s="66">
        <f>WORKDAY(NC[[#This Row],[DATA]],1,0)</f>
        <v>41079</v>
      </c>
      <c r="L54" s="68">
        <f>EOMONTH(NC[[#This Row],[DATA DE LIQUIDAÇÃO]],0)</f>
        <v>41090</v>
      </c>
      <c r="M54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4" s="67">
        <f>[QTDE]*[PREÇO]</f>
        <v>945</v>
      </c>
      <c r="O54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-945</v>
      </c>
      <c r="P54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0.17</v>
      </c>
      <c r="Q54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R54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S54" s="67">
        <f>SETUP!$E$3 * IF([PARCIAL] &gt; 0, [QTDE] / [PARCIAL], 1)</f>
        <v>4.65625</v>
      </c>
      <c r="T54" s="67">
        <f>SUMPRODUCT(N([DATA]=NC[[#This Row],[DATA]]),N([ID]&lt;=NC[[#This Row],[ID]]), [CORR])</f>
        <v>4.65625</v>
      </c>
      <c r="U54" s="67">
        <f>TRUNC([CORRETAGEM]*SETUP!$F$3,2)</f>
        <v>0.09</v>
      </c>
      <c r="V54" s="67">
        <f>ROUND([CORRETAGEM]*SETUP!$G$3,2)</f>
        <v>0.18</v>
      </c>
      <c r="W54" s="67">
        <f>[VALOR LÍQUIDO DAS OPERAÇÕES]-[TAXA DE LIQUIDAÇÃO]-[EMOLUMENTOS]-[TAXA DE REGISTRO]-[CORRETAGEM]-[ISS]-IF(['[D/N']]="D",    0,    [OUTRAS BOVESPA]) - [AJUSTE]</f>
        <v>-950.16624999999999</v>
      </c>
      <c r="X54" s="67">
        <f>IF(AND(['[D/N']]="D",    [T]="CV",    [LÍQUIDO BASE] &gt; 0),    TRUNC([LÍQUIDO BASE]*0.01, 2),    0)</f>
        <v>0</v>
      </c>
      <c r="Y54" s="15">
        <f>IF([PREÇO] &gt; 0,    [LÍQUIDO BASE]-SUMPRODUCT(N([DATA]=NC[[#This Row],[DATA]]),    [IRRF FONTE]),    0)</f>
        <v>-950.74625000000003</v>
      </c>
      <c r="Z54" s="69">
        <f>[LÍQUIDO]-SUMPRODUCT(N([DATA]=NC[[#This Row],[DATA]]),N([ID]=(NC[[#This Row],[ID]]-1)),[LÍQUIDO])</f>
        <v>-950.74625000000003</v>
      </c>
      <c r="AA54" s="67">
        <f>IF([T] = "VC", ABS([VALOR OP]) / [QTDE], [VALOR OP]/[QTDE])</f>
        <v>-1.9014925</v>
      </c>
      <c r="AB54" s="67">
        <f>TRUNC(IF(OR([T]="CV",[T]="VV"),     N54*SETUP!$H$3,     0),2)</f>
        <v>0</v>
      </c>
      <c r="AC54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4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4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4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54" s="67">
        <f>IF([LUCRO TMP] &lt;&gt; 0, [LUCRO TMP] - SUMPRODUCT(N([ATIVO]=NC[[#This Row],[ATIVO]]),N(['[D/N']]="N"),N([ID]&lt;NC[[#This Row],[ID]]),N([PAR]=NC[[#This Row],[PAR]]), [LUCRO TMP]), 0)</f>
        <v>0</v>
      </c>
      <c r="AH54" s="67">
        <f>IF([U] = "U", SUMPRODUCT(N([ID]&lt;=NC[[#This Row],[ID]]),N([DATA BASE]=NC[[#This Row],[DATA BASE]]), N(['[D/N']] = "N"),    [LUCRO P/ OP]), 0)</f>
        <v>0</v>
      </c>
      <c r="AI54" s="67">
        <f>IF([U] = "U", SUMPRODUCT(N([DATA BASE]=NC[[#This Row],[DATA BASE]]), N(['[D/N']] = "D"),    [LUCRO P/ OP]), 0)</f>
        <v>0</v>
      </c>
      <c r="AJ54" s="15">
        <f>IF([U] = "U", SUMPRODUCT(N([DATA BASE]=NC[[#This Row],[DATA BASE]]), N(['[D/N']] = "D"),    [IRRF FONTE]), 0)</f>
        <v>0</v>
      </c>
    </row>
    <row r="55" spans="1:36">
      <c r="A55" s="13">
        <v>54</v>
      </c>
      <c r="B55" s="13"/>
      <c r="C55" s="55" t="s">
        <v>117</v>
      </c>
      <c r="D55" s="13" t="s">
        <v>25</v>
      </c>
      <c r="E55" s="44">
        <v>41078</v>
      </c>
      <c r="F55" s="13">
        <v>500</v>
      </c>
      <c r="G55" s="15">
        <v>2.0499999999999998</v>
      </c>
      <c r="H55" s="78"/>
      <c r="I55" s="19">
        <v>0.56000000000000005</v>
      </c>
      <c r="J55" s="13" t="s">
        <v>14</v>
      </c>
      <c r="K55" s="14">
        <f>WORKDAY(NC[[#This Row],[DATA]],1,0)</f>
        <v>41079</v>
      </c>
      <c r="L55" s="75">
        <f>EOMONTH(NC[[#This Row],[DATA DE LIQUIDAÇÃO]],0)</f>
        <v>41090</v>
      </c>
      <c r="M5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55" s="15">
        <f>[QTDE]*[PREÇO]</f>
        <v>1025</v>
      </c>
      <c r="O5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</v>
      </c>
      <c r="P5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0.35</v>
      </c>
      <c r="Q5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0.23</v>
      </c>
      <c r="R5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S55" s="15">
        <f>SETUP!$E$3 * IF([PARCIAL] &gt; 0, [QTDE] / [PARCIAL], 1)</f>
        <v>14.9</v>
      </c>
      <c r="T55" s="15">
        <f>SUMPRODUCT(N([DATA]=NC[[#This Row],[DATA]]),N([ID]&lt;=NC[[#This Row],[ID]]), [CORR])</f>
        <v>19.556249999999999</v>
      </c>
      <c r="U55" s="15">
        <f>TRUNC([CORRETAGEM]*SETUP!$F$3,2)</f>
        <v>0.39</v>
      </c>
      <c r="V55" s="15">
        <f>ROUND([CORRETAGEM]*SETUP!$G$3,2)</f>
        <v>0.76</v>
      </c>
      <c r="W55" s="15">
        <f>[VALOR LÍQUIDO DAS OPERAÇÕES]-[TAXA DE LIQUIDAÇÃO]-[EMOLUMENTOS]-[TAXA DE REGISTRO]-[CORRETAGEM]-[ISS]-IF(['[D/N']]="D",    0,    [OUTRAS BOVESPA]) - [AJUSTE]</f>
        <v>58.623749999999994</v>
      </c>
      <c r="X55" s="15">
        <f>IF(AND(['[D/N']]="D",    [T]="CV",    [LÍQUIDO BASE] &gt; 0),    TRUNC([LÍQUIDO BASE]*0.01, 2),    0)</f>
        <v>0.57999999999999996</v>
      </c>
      <c r="Y55" s="15">
        <f>IF([PREÇO] &gt; 0,    [LÍQUIDO BASE]-SUMPRODUCT(N([DATA]=NC[[#This Row],[DATA]]),    [IRRF FONTE]),    0)</f>
        <v>58.043749999999996</v>
      </c>
      <c r="Z55" s="20">
        <f>[LÍQUIDO]-SUMPRODUCT(N([DATA]=NC[[#This Row],[DATA]]),N([ID]=(NC[[#This Row],[ID]]-1)),[LÍQUIDO])</f>
        <v>1008.7900000000001</v>
      </c>
      <c r="AA55" s="15">
        <f>IF([T] = "VC", ABS([VALOR OP]) / [QTDE], [VALOR OP]/[QTDE])</f>
        <v>2.0175800000000002</v>
      </c>
      <c r="AB55" s="15">
        <f>TRUNC(IF(OR([T]="CV",[T]="VV"),     N55*SETUP!$H$3,     0),2)</f>
        <v>0.05</v>
      </c>
      <c r="AC5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1.9014925</v>
      </c>
      <c r="AE5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2.0175800000000002</v>
      </c>
      <c r="AF5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58.623750000000058</v>
      </c>
      <c r="AG55" s="15">
        <f>IF([LUCRO TMP] &lt;&gt; 0, [LUCRO TMP] - SUMPRODUCT(N([ATIVO]=NC[[#This Row],[ATIVO]]),N(['[D/N']]="N"),N([ID]&lt;NC[[#This Row],[ID]]),N([PAR]=NC[[#This Row],[PAR]]), [LUCRO TMP]), 0)</f>
        <v>58.623750000000058</v>
      </c>
      <c r="AH55" s="15">
        <f>IF([U] = "U", SUMPRODUCT(N([ID]&lt;=NC[[#This Row],[ID]]),N([DATA BASE]=NC[[#This Row],[DATA BASE]]), N(['[D/N']] = "N"),    [LUCRO P/ OP]), 0)</f>
        <v>0</v>
      </c>
      <c r="AI55" s="15">
        <f>IF([U] = "U", SUMPRODUCT(N([DATA BASE]=NC[[#This Row],[DATA BASE]]), N(['[D/N']] = "D"),    [LUCRO P/ OP]), 0)</f>
        <v>0</v>
      </c>
      <c r="AJ55" s="15">
        <f>IF([U] = "U", SUMPRODUCT(N([DATA BASE]=NC[[#This Row],[DATA BASE]]), N(['[D/N']] = "D"),    [IRRF FONTE]), 0)</f>
        <v>0</v>
      </c>
    </row>
    <row r="56" spans="1:36">
      <c r="A56" s="13">
        <v>55</v>
      </c>
      <c r="B56" s="13"/>
      <c r="C56" s="55" t="s">
        <v>117</v>
      </c>
      <c r="D56" s="13" t="s">
        <v>67</v>
      </c>
      <c r="E56" s="44">
        <v>41078</v>
      </c>
      <c r="F56" s="43">
        <v>1100</v>
      </c>
      <c r="G56" s="42">
        <v>1.89</v>
      </c>
      <c r="H56" s="78">
        <v>1600</v>
      </c>
      <c r="I56" s="19"/>
      <c r="J56" s="43" t="s">
        <v>6</v>
      </c>
      <c r="K56" s="66">
        <f>WORKDAY(NC[[#This Row],[DATA]],1,0)</f>
        <v>41079</v>
      </c>
      <c r="L56" s="68">
        <f>EOMONTH(NC[[#This Row],[DATA DE LIQUIDAÇÃO]],0)</f>
        <v>41090</v>
      </c>
      <c r="M56" s="6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6" s="67">
        <f>[QTDE]*[PREÇO]</f>
        <v>2079</v>
      </c>
      <c r="O56" s="6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-1999</v>
      </c>
      <c r="P56" s="6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0.92</v>
      </c>
      <c r="Q56" s="6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</v>
      </c>
      <c r="R56" s="6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1.74</v>
      </c>
      <c r="S56" s="67">
        <f>SETUP!$E$3 * IF([PARCIAL] &gt; 0, [QTDE] / [PARCIAL], 1)</f>
        <v>10.24375</v>
      </c>
      <c r="T56" s="67">
        <f>SUMPRODUCT(N([DATA]=NC[[#This Row],[DATA]]),N([ID]&lt;=NC[[#This Row],[ID]]), [CORR])</f>
        <v>29.799999999999997</v>
      </c>
      <c r="U56" s="67">
        <f>TRUNC([CORRETAGEM]*SETUP!$F$3,2)</f>
        <v>0.59</v>
      </c>
      <c r="V56" s="67">
        <f>ROUND([CORRETAGEM]*SETUP!$G$3,2)</f>
        <v>1.1599999999999999</v>
      </c>
      <c r="W56" s="67">
        <f>[VALOR LÍQUIDO DAS OPERAÇÕES]-[TAXA DE LIQUIDAÇÃO]-[EMOLUMENTOS]-[TAXA DE REGISTRO]-[CORRETAGEM]-[ISS]-IF(['[D/N']]="D",    0,    [OUTRAS BOVESPA]) - [AJUSTE]</f>
        <v>-2034.21</v>
      </c>
      <c r="X56" s="67">
        <f>IF(AND(['[D/N']]="D",    [T]="CV",    [LÍQUIDO BASE] &gt; 0),    TRUNC([LÍQUIDO BASE]*0.01, 2),    0)</f>
        <v>0</v>
      </c>
      <c r="Y56" s="15">
        <f>IF([PREÇO] &gt; 0,    [LÍQUIDO BASE]-SUMPRODUCT(N([DATA]=NC[[#This Row],[DATA]]),    [IRRF FONTE]),    0)</f>
        <v>-2034.79</v>
      </c>
      <c r="Z56" s="69">
        <f>[LÍQUIDO]-SUMPRODUCT(N([DATA]=NC[[#This Row],[DATA]]),N([ID]=(NC[[#This Row],[ID]]-1)),[LÍQUIDO])</f>
        <v>-2092.8337499999998</v>
      </c>
      <c r="AA56" s="67">
        <f>IF([T] = "VC", ABS([VALOR OP]) / [QTDE], [VALOR OP]/[QTDE])</f>
        <v>1.9025761363636362</v>
      </c>
      <c r="AB56" s="67">
        <f>TRUNC(IF(OR([T]="CV",[T]="VV"),     N56*SETUP!$H$3,     0),2)</f>
        <v>0</v>
      </c>
      <c r="AC56" s="6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6" s="7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1.9025761363636362</v>
      </c>
      <c r="AE56" s="7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1.3937636363636363</v>
      </c>
      <c r="AF56" s="7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-559.69374999999991</v>
      </c>
      <c r="AG56" s="67">
        <f>IF([LUCRO TMP] &lt;&gt; 0, [LUCRO TMP] - SUMPRODUCT(N([ATIVO]=NC[[#This Row],[ATIVO]]),N(['[D/N']]="N"),N([ID]&lt;NC[[#This Row],[ID]]),N([PAR]=NC[[#This Row],[PAR]]), [LUCRO TMP]), 0)</f>
        <v>-559.69374999999991</v>
      </c>
      <c r="AH56" s="67">
        <f>IF([U] = "U", SUMPRODUCT(N([ID]&lt;=NC[[#This Row],[ID]]),N([DATA BASE]=NC[[#This Row],[DATA BASE]]), N(['[D/N']] = "N"),    [LUCRO P/ OP]), 0)</f>
        <v>0</v>
      </c>
      <c r="AI56" s="67">
        <f>IF([U] = "U", SUMPRODUCT(N([DATA BASE]=NC[[#This Row],[DATA BASE]]), N(['[D/N']] = "D"),    [LUCRO P/ OP]), 0)</f>
        <v>0</v>
      </c>
      <c r="AJ56" s="15">
        <f>IF([U] = "U", SUMPRODUCT(N([DATA BASE]=NC[[#This Row],[DATA BASE]]), N(['[D/N']] = "D"),    [IRRF FONTE]), 0)</f>
        <v>0</v>
      </c>
    </row>
    <row r="57" spans="1:36">
      <c r="A57" s="13">
        <v>56</v>
      </c>
      <c r="B57" s="13"/>
      <c r="C57" s="55" t="s">
        <v>118</v>
      </c>
      <c r="D57" s="13" t="s">
        <v>25</v>
      </c>
      <c r="E57" s="44">
        <v>41078</v>
      </c>
      <c r="F57" s="43">
        <v>1100</v>
      </c>
      <c r="G57" s="42">
        <v>1.45</v>
      </c>
      <c r="H57" s="76"/>
      <c r="I57" s="49"/>
      <c r="J57" s="43" t="s">
        <v>6</v>
      </c>
      <c r="K57" s="14">
        <f>WORKDAY(NC[[#This Row],[DATA]],1,0)</f>
        <v>41079</v>
      </c>
      <c r="L57" s="75">
        <f>EOMONTH(NC[[#This Row],[DATA DE LIQUIDAÇÃO]],0)</f>
        <v>41090</v>
      </c>
      <c r="M5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57" s="15">
        <f>[QTDE]*[PREÇO]</f>
        <v>1595</v>
      </c>
      <c r="O5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-404</v>
      </c>
      <c r="P5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1.36</v>
      </c>
      <c r="Q5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1.59</v>
      </c>
      <c r="R5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2.84</v>
      </c>
      <c r="S57" s="15">
        <f>SETUP!$E$3 * IF([PARCIAL] &gt; 0, [QTDE] / [PARCIAL], 1)</f>
        <v>14.9</v>
      </c>
      <c r="T57" s="15">
        <f>SUMPRODUCT(N([DATA]=NC[[#This Row],[DATA]]),N([ID]&lt;=NC[[#This Row],[ID]]), [CORR])</f>
        <v>44.699999999999996</v>
      </c>
      <c r="U57" s="15">
        <f>TRUNC([CORRETAGEM]*SETUP!$F$3,2)</f>
        <v>0.89</v>
      </c>
      <c r="V57" s="15">
        <f>ROUND([CORRETAGEM]*SETUP!$G$3,2)</f>
        <v>1.74</v>
      </c>
      <c r="W57" s="15">
        <f>[VALOR LÍQUIDO DAS OPERAÇÕES]-[TAXA DE LIQUIDAÇÃO]-[EMOLUMENTOS]-[TAXA DE REGISTRO]-[CORRETAGEM]-[ISS]-IF(['[D/N']]="D",    0,    [OUTRAS BOVESPA]) - [AJUSTE]</f>
        <v>-457.11999999999995</v>
      </c>
      <c r="X57" s="15">
        <f>IF(AND(['[D/N']]="D",    [T]="CV",    [LÍQUIDO BASE] &gt; 0),    TRUNC([LÍQUIDO BASE]*0.01, 2),    0)</f>
        <v>0</v>
      </c>
      <c r="Y57" s="15">
        <f>IF([PREÇO] &gt; 0,    [LÍQUIDO BASE]-SUMPRODUCT(N([DATA]=NC[[#This Row],[DATA]]),    [IRRF FONTE]),    0)</f>
        <v>-457.69999999999993</v>
      </c>
      <c r="Z57" s="20">
        <f>[LÍQUIDO]-SUMPRODUCT(N([DATA]=NC[[#This Row],[DATA]]),N([ID]=(NC[[#This Row],[ID]]-1)),[LÍQUIDO])</f>
        <v>1577.0900000000001</v>
      </c>
      <c r="AA57" s="15">
        <f>IF([T] = "VC", ABS([VALOR OP]) / [QTDE], [VALOR OP]/[QTDE])</f>
        <v>1.4337181818181819</v>
      </c>
      <c r="AB57" s="15">
        <f>TRUNC(IF(OR([T]="CV",[T]="VV"),     N57*SETUP!$H$3,     0),2)</f>
        <v>7.0000000000000007E-2</v>
      </c>
      <c r="AC5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0.89552727272727228</v>
      </c>
      <c r="AE5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1.4337181818181819</v>
      </c>
      <c r="AF5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592.01000000000056</v>
      </c>
      <c r="AG57" s="15">
        <f>IF([LUCRO TMP] &lt;&gt; 0, [LUCRO TMP] - SUMPRODUCT(N([ATIVO]=NC[[#This Row],[ATIVO]]),N(['[D/N']]="N"),N([ID]&lt;NC[[#This Row],[ID]]),N([PAR]=NC[[#This Row],[PAR]]), [LUCRO TMP]), 0)</f>
        <v>592.01000000000056</v>
      </c>
      <c r="AH57" s="15">
        <f>IF([U] = "U", SUMPRODUCT(N([ID]&lt;=NC[[#This Row],[ID]]),N([DATA BASE]=NC[[#This Row],[DATA BASE]]), N(['[D/N']] = "N"),    [LUCRO P/ OP]), 0)</f>
        <v>0</v>
      </c>
      <c r="AI57" s="15">
        <f>IF([U] = "U", SUMPRODUCT(N([DATA BASE]=NC[[#This Row],[DATA BASE]]), N(['[D/N']] = "D"),    [LUCRO P/ OP]), 0)</f>
        <v>0</v>
      </c>
      <c r="AJ57" s="15">
        <f>IF([U] = "U", SUMPRODUCT(N([DATA BASE]=NC[[#This Row],[DATA BASE]]), N(['[D/N']] = "D"),    [IRRF FONTE]), 0)</f>
        <v>0</v>
      </c>
    </row>
    <row r="58" spans="1:36">
      <c r="A58" s="13">
        <v>57</v>
      </c>
      <c r="B58" s="13"/>
      <c r="C58" s="55" t="s">
        <v>114</v>
      </c>
      <c r="D58" s="13" t="s">
        <v>25</v>
      </c>
      <c r="E58" s="14">
        <v>41079</v>
      </c>
      <c r="F58" s="13">
        <v>1000</v>
      </c>
      <c r="G58" s="15">
        <v>0</v>
      </c>
      <c r="H58" s="78"/>
      <c r="I58" s="19"/>
      <c r="J58" s="13" t="s">
        <v>6</v>
      </c>
      <c r="K58" s="14">
        <f>WORKDAY(NC[[#This Row],[DATA]],1,0)</f>
        <v>41080</v>
      </c>
      <c r="L58" s="56">
        <f>EOMONTH(NC[[#This Row],[DATA DE LIQUIDAÇÃO]],0)</f>
        <v>41090</v>
      </c>
      <c r="M5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8" s="15">
        <f>[QTDE]*[PREÇO]</f>
        <v>0</v>
      </c>
      <c r="O5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8" s="15">
        <f>SETUP!$E$3 * IF([PARCIAL] &gt; 0, [QTDE] / [PARCIAL], 1)</f>
        <v>14.9</v>
      </c>
      <c r="T58" s="15">
        <f>SUMPRODUCT(N([DATA]=NC[[#This Row],[DATA]]),N([ID]&lt;=NC[[#This Row],[ID]]), [CORR])</f>
        <v>14.9</v>
      </c>
      <c r="U58" s="15">
        <f>TRUNC([CORRETAGEM]*SETUP!$F$3,2)</f>
        <v>0.28999999999999998</v>
      </c>
      <c r="V58" s="15">
        <f>ROUND([CORRETAGEM]*SETUP!$G$3,2)</f>
        <v>0.57999999999999996</v>
      </c>
      <c r="W58" s="15">
        <f>[VALOR LÍQUIDO DAS OPERAÇÕES]-[TAXA DE LIQUIDAÇÃO]-[EMOLUMENTOS]-[TAXA DE REGISTRO]-[CORRETAGEM]-[ISS]-IF(['[D/N']]="D",    0,    [OUTRAS BOVESPA]) - [AJUSTE]</f>
        <v>-15.77</v>
      </c>
      <c r="X58" s="15">
        <f>IF(AND(['[D/N']]="D",    [T]="CV",    [LÍQUIDO BASE] &gt; 0),    TRUNC([LÍQUIDO BASE]*0.01, 2),    0)</f>
        <v>0</v>
      </c>
      <c r="Y58" s="15">
        <f>IF([PREÇO] &gt; 0,    [LÍQUIDO BASE]-SUMPRODUCT(N([DATA]=NC[[#This Row],[DATA]]),    [IRRF FONTE]),    0)</f>
        <v>0</v>
      </c>
      <c r="Z58" s="20">
        <f>[LÍQUIDO]-SUMPRODUCT(N([DATA]=NC[[#This Row],[DATA]]),N([ID]=(NC[[#This Row],[ID]]-1)),[LÍQUIDO])</f>
        <v>0</v>
      </c>
      <c r="AA58" s="15">
        <f>IF([T] = "VC", ABS([VALOR OP]) / [QTDE], [VALOR OP]/[QTDE])</f>
        <v>0</v>
      </c>
      <c r="AB58" s="15">
        <f>TRUNC(IF(OR([T]="CV",[T]="VV"),     N58*SETUP!$H$3,     0),2)</f>
        <v>0</v>
      </c>
      <c r="AC5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E5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8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G58" s="15">
        <f>IF([LUCRO TMP] &lt;&gt; 0, [LUCRO TMP] - SUMPRODUCT(N([ATIVO]=NC[[#This Row],[ATIVO]]),N(['[D/N']]="N"),N([ID]&lt;NC[[#This Row],[ID]]),N([PAR]=NC[[#This Row],[PAR]]), [LUCRO TMP]), 0)</f>
        <v>-466.39</v>
      </c>
      <c r="AH58" s="15">
        <f>IF([U] = "U", SUMPRODUCT(N([ID]&lt;=NC[[#This Row],[ID]]),N([DATA BASE]=NC[[#This Row],[DATA BASE]]), N(['[D/N']] = "N"),    [LUCRO P/ OP]), 0)</f>
        <v>0</v>
      </c>
      <c r="AI58" s="15">
        <f>IF([U] = "U", SUMPRODUCT(N([DATA BASE]=NC[[#This Row],[DATA BASE]]), N(['[D/N']] = "D"),    [LUCRO P/ OP]), 0)</f>
        <v>0</v>
      </c>
      <c r="AJ58" s="15">
        <f>IF([U] = "U", SUMPRODUCT(N([DATA BASE]=NC[[#This Row],[DATA BASE]]), N(['[D/N']] = "D"),    [IRRF FONTE]), 0)</f>
        <v>0</v>
      </c>
    </row>
    <row r="59" spans="1:36">
      <c r="A59" s="13">
        <v>58</v>
      </c>
      <c r="B59" s="13"/>
      <c r="C59" s="55" t="s">
        <v>104</v>
      </c>
      <c r="D59" s="13" t="s">
        <v>25</v>
      </c>
      <c r="E59" s="14">
        <v>41079</v>
      </c>
      <c r="F59" s="13">
        <v>200</v>
      </c>
      <c r="G59" s="15">
        <v>0</v>
      </c>
      <c r="H59" s="78"/>
      <c r="I59" s="19"/>
      <c r="J59" s="13" t="s">
        <v>6</v>
      </c>
      <c r="K59" s="14">
        <f>WORKDAY(NC[[#This Row],[DATA]],1,0)</f>
        <v>41080</v>
      </c>
      <c r="L59" s="56">
        <f>EOMONTH(NC[[#This Row],[DATA DE LIQUIDAÇÃO]],0)</f>
        <v>41090</v>
      </c>
      <c r="M5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59" s="15">
        <f>[QTDE]*[PREÇO]</f>
        <v>0</v>
      </c>
      <c r="O5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5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Q5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R5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S59" s="15">
        <f>SETUP!$E$3 * IF([PARCIAL] &gt; 0, [QTDE] / [PARCIAL], 1)</f>
        <v>14.9</v>
      </c>
      <c r="T59" s="15">
        <f>SUMPRODUCT(N([DATA]=NC[[#This Row],[DATA]]),N([ID]&lt;=NC[[#This Row],[ID]]), [CORR])</f>
        <v>29.8</v>
      </c>
      <c r="U59" s="15">
        <f>TRUNC([CORRETAGEM]*SETUP!$F$3,2)</f>
        <v>0.59</v>
      </c>
      <c r="V59" s="15">
        <f>ROUND([CORRETAGEM]*SETUP!$G$3,2)</f>
        <v>1.1599999999999999</v>
      </c>
      <c r="W59" s="15">
        <f>[VALOR LÍQUIDO DAS OPERAÇÕES]-[TAXA DE LIQUIDAÇÃO]-[EMOLUMENTOS]-[TAXA DE REGISTRO]-[CORRETAGEM]-[ISS]-IF(['[D/N']]="D",    0,    [OUTRAS BOVESPA]) - [AJUSTE]</f>
        <v>-31.55</v>
      </c>
      <c r="X59" s="15">
        <f>IF(AND(['[D/N']]="D",    [T]="CV",    [LÍQUIDO BASE] &gt; 0),    TRUNC([LÍQUIDO BASE]*0.01, 2),    0)</f>
        <v>0</v>
      </c>
      <c r="Y59" s="15">
        <f>IF([PREÇO] &gt; 0,    [LÍQUIDO BASE]-SUMPRODUCT(N([DATA]=NC[[#This Row],[DATA]]),    [IRRF FONTE]),    0)</f>
        <v>0</v>
      </c>
      <c r="Z59" s="20">
        <f>[LÍQUIDO]-SUMPRODUCT(N([DATA]=NC[[#This Row],[DATA]]),N([ID]=(NC[[#This Row],[ID]]-1)),[LÍQUIDO])</f>
        <v>0</v>
      </c>
      <c r="AA59" s="15">
        <f>IF([T] = "VC", ABS([VALOR OP]) / [QTDE], [VALOR OP]/[QTDE])</f>
        <v>0</v>
      </c>
      <c r="AB59" s="15">
        <f>TRUNC(IF(OR([T]="CV",[T]="VV"),     N59*SETUP!$H$3,     0),2)</f>
        <v>0</v>
      </c>
      <c r="AC5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5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E5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5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G59" s="15">
        <f>IF([LUCRO TMP] &lt;&gt; 0, [LUCRO TMP] - SUMPRODUCT(N([ATIVO]=NC[[#This Row],[ATIVO]]),N(['[D/N']]="N"),N([ID]&lt;NC[[#This Row],[ID]]),N([PAR]=NC[[#This Row],[PAR]]), [LUCRO TMP]), 0)</f>
        <v>-153.94000000000003</v>
      </c>
      <c r="AH59" s="15">
        <f>IF([U] = "U", SUMPRODUCT(N([ID]&lt;=NC[[#This Row],[ID]]),N([DATA BASE]=NC[[#This Row],[DATA BASE]]), N(['[D/N']] = "N"),    [LUCRO P/ OP]), 0)</f>
        <v>0</v>
      </c>
      <c r="AI59" s="15">
        <f>IF([U] = "U", SUMPRODUCT(N([DATA BASE]=NC[[#This Row],[DATA BASE]]), N(['[D/N']] = "D"),    [LUCRO P/ OP]), 0)</f>
        <v>0</v>
      </c>
      <c r="AJ59" s="15">
        <f>IF([U] = "U", SUMPRODUCT(N([DATA BASE]=NC[[#This Row],[DATA BASE]]), N(['[D/N']] = "D"),    [IRRF FONTE]), 0)</f>
        <v>0</v>
      </c>
    </row>
    <row r="60" spans="1:36">
      <c r="A60" s="13">
        <v>59</v>
      </c>
      <c r="B60" s="13"/>
      <c r="C60" s="55" t="s">
        <v>117</v>
      </c>
      <c r="D60" s="13" t="s">
        <v>66</v>
      </c>
      <c r="E60" s="14">
        <v>41086</v>
      </c>
      <c r="F60" s="13">
        <v>1600</v>
      </c>
      <c r="G60" s="15">
        <v>1.44</v>
      </c>
      <c r="H60" s="78"/>
      <c r="I60" s="19"/>
      <c r="J60" s="13" t="s">
        <v>6</v>
      </c>
      <c r="K60" s="14">
        <f>WORKDAY(NC[[#This Row],[DATA]],1,0)</f>
        <v>41087</v>
      </c>
      <c r="L60" s="75">
        <f>EOMONTH(NC[[#This Row],[DATA DE LIQUIDAÇÃO]],0)</f>
        <v>41090</v>
      </c>
      <c r="M6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0" s="15">
        <f>[QTDE]*[PREÇO]</f>
        <v>2304</v>
      </c>
      <c r="O6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2304</v>
      </c>
      <c r="P6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0.63</v>
      </c>
      <c r="Q6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0.85</v>
      </c>
      <c r="R6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1.6</v>
      </c>
      <c r="S60" s="15">
        <f>SETUP!$E$3 * IF([PARCIAL] &gt; 0, [QTDE] / [PARCIAL], 1)</f>
        <v>14.9</v>
      </c>
      <c r="T60" s="15">
        <f>SUMPRODUCT(N([DATA]=NC[[#This Row],[DATA]]),N([ID]&lt;=NC[[#This Row],[ID]]), [CORR])</f>
        <v>14.9</v>
      </c>
      <c r="U60" s="15">
        <f>TRUNC([CORRETAGEM]*SETUP!$F$3,2)</f>
        <v>0.28999999999999998</v>
      </c>
      <c r="V60" s="15">
        <f>ROUND([CORRETAGEM]*SETUP!$G$3,2)</f>
        <v>0.57999999999999996</v>
      </c>
      <c r="W60" s="15">
        <f>[VALOR LÍQUIDO DAS OPERAÇÕES]-[TAXA DE LIQUIDAÇÃO]-[EMOLUMENTOS]-[TAXA DE REGISTRO]-[CORRETAGEM]-[ISS]-IF(['[D/N']]="D",    0,    [OUTRAS BOVESPA]) - [AJUSTE]</f>
        <v>2285.15</v>
      </c>
      <c r="X60" s="15">
        <f>IF(AND(['[D/N']]="D",    [T]="CV",    [LÍQUIDO BASE] &gt; 0),    TRUNC([LÍQUIDO BASE]*0.01, 2),    0)</f>
        <v>0</v>
      </c>
      <c r="Y60" s="15">
        <f>IF([PREÇO] &gt; 0,    [LÍQUIDO BASE]-SUMPRODUCT(N([DATA]=NC[[#This Row],[DATA]]),    [IRRF FONTE]),    0)</f>
        <v>2285.15</v>
      </c>
      <c r="Z60" s="20">
        <f>[LÍQUIDO]-SUMPRODUCT(N([DATA]=NC[[#This Row],[DATA]]),N([ID]=(NC[[#This Row],[ID]]-1)),[LÍQUIDO])</f>
        <v>2285.15</v>
      </c>
      <c r="AA60" s="15">
        <f>IF([T] = "VC", ABS([VALOR OP]) / [QTDE], [VALOR OP]/[QTDE])</f>
        <v>1.4282187500000001</v>
      </c>
      <c r="AB60" s="15">
        <f>TRUNC(IF(OR([T]="CV",[T]="VV"),     N60*SETUP!$H$3,     0),2)</f>
        <v>0.11</v>
      </c>
      <c r="AC6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-1600</v>
      </c>
      <c r="AD6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0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0" s="15">
        <f>IF([LUCRO TMP] &lt;&gt; 0, [LUCRO TMP] - SUMPRODUCT(N([ATIVO]=NC[[#This Row],[ATIVO]]),N(['[D/N']]="N"),N([ID]&lt;NC[[#This Row],[ID]]),N([PAR]=NC[[#This Row],[PAR]]), [LUCRO TMP]), 0)</f>
        <v>0</v>
      </c>
      <c r="AH60" s="15">
        <f>IF([U] = "U", SUMPRODUCT(N([ID]&lt;=NC[[#This Row],[ID]]),N([DATA BASE]=NC[[#This Row],[DATA BASE]]), N(['[D/N']] = "N"),    [LUCRO P/ OP]), 0)</f>
        <v>0</v>
      </c>
      <c r="AI60" s="15">
        <f>IF([U] = "U", SUMPRODUCT(N([DATA BASE]=NC[[#This Row],[DATA BASE]]), N(['[D/N']] = "D"),    [LUCRO P/ OP]), 0)</f>
        <v>0</v>
      </c>
      <c r="AJ60" s="15">
        <f>IF([U] = "U", SUMPRODUCT(N([DATA BASE]=NC[[#This Row],[DATA BASE]]), N(['[D/N']] = "D"),    [IRRF FONTE]), 0)</f>
        <v>0</v>
      </c>
    </row>
    <row r="61" spans="1:36">
      <c r="A61" s="13">
        <v>60</v>
      </c>
      <c r="B61" s="13" t="s">
        <v>49</v>
      </c>
      <c r="C61" s="55" t="s">
        <v>118</v>
      </c>
      <c r="D61" s="13" t="s">
        <v>24</v>
      </c>
      <c r="E61" s="14">
        <v>41086</v>
      </c>
      <c r="F61" s="13">
        <v>1600</v>
      </c>
      <c r="G61" s="15">
        <v>0.88</v>
      </c>
      <c r="H61" s="78"/>
      <c r="I61" s="19"/>
      <c r="J61" s="13" t="s">
        <v>6</v>
      </c>
      <c r="K61" s="14">
        <f>WORKDAY(NC[[#This Row],[DATA]],1,0)</f>
        <v>41087</v>
      </c>
      <c r="L61" s="75">
        <f>EOMONTH(NC[[#This Row],[DATA DE LIQUIDAÇÃO]],0)</f>
        <v>41090</v>
      </c>
      <c r="M6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1" s="15">
        <f>[QTDE]*[PREÇO]</f>
        <v>1408</v>
      </c>
      <c r="O6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896</v>
      </c>
      <c r="P6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1.02</v>
      </c>
      <c r="Q6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1.37</v>
      </c>
      <c r="R6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2.57</v>
      </c>
      <c r="S61" s="15">
        <f>SETUP!$E$3 * IF([PARCIAL] &gt; 0, [QTDE] / [PARCIAL], 1)</f>
        <v>14.9</v>
      </c>
      <c r="T61" s="15">
        <f>SUMPRODUCT(N([DATA]=NC[[#This Row],[DATA]]),N([ID]&lt;=NC[[#This Row],[ID]]), [CORR])</f>
        <v>29.8</v>
      </c>
      <c r="U61" s="15">
        <f>TRUNC([CORRETAGEM]*SETUP!$F$3,2)</f>
        <v>0.59</v>
      </c>
      <c r="V61" s="15">
        <f>ROUND([CORRETAGEM]*SETUP!$G$3,2)</f>
        <v>1.1599999999999999</v>
      </c>
      <c r="W61" s="15">
        <f>[VALOR LÍQUIDO DAS OPERAÇÕES]-[TAXA DE LIQUIDAÇÃO]-[EMOLUMENTOS]-[TAXA DE REGISTRO]-[CORRETAGEM]-[ISS]-IF(['[D/N']]="D",    0,    [OUTRAS BOVESPA]) - [AJUSTE]</f>
        <v>859.49</v>
      </c>
      <c r="X61" s="15">
        <f>IF(AND(['[D/N']]="D",    [T]="CV",    [LÍQUIDO BASE] &gt; 0),    TRUNC([LÍQUIDO BASE]*0.01, 2),    0)</f>
        <v>0</v>
      </c>
      <c r="Y61" s="15">
        <f>IF([PREÇO] &gt; 0,    [LÍQUIDO BASE]-SUMPRODUCT(N([DATA]=NC[[#This Row],[DATA]]),    [IRRF FONTE]),    0)</f>
        <v>859.49</v>
      </c>
      <c r="Z61" s="20">
        <f>[LÍQUIDO]-SUMPRODUCT(N([DATA]=NC[[#This Row],[DATA]]),N([ID]=(NC[[#This Row],[ID]]-1)),[LÍQUIDO])</f>
        <v>-1425.66</v>
      </c>
      <c r="AA61" s="15">
        <f>IF([T] = "VC", ABS([VALOR OP]) / [QTDE], [VALOR OP]/[QTDE])</f>
        <v>-0.89103750000000004</v>
      </c>
      <c r="AB61" s="15">
        <f>TRUNC(IF(OR([T]="CV",[T]="VV"),     N61*SETUP!$H$3,     0),2)</f>
        <v>0</v>
      </c>
      <c r="AC6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1600</v>
      </c>
      <c r="AD6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1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1" s="15">
        <f>IF([LUCRO TMP] &lt;&gt; 0, [LUCRO TMP] - SUMPRODUCT(N([ATIVO]=NC[[#This Row],[ATIVO]]),N(['[D/N']]="N"),N([ID]&lt;NC[[#This Row],[ID]]),N([PAR]=NC[[#This Row],[PAR]]), [LUCRO TMP]), 0)</f>
        <v>0</v>
      </c>
      <c r="AH61" s="15">
        <f>IF([U] = "U", SUMPRODUCT(N([ID]&lt;=NC[[#This Row],[ID]]),N([DATA BASE]=NC[[#This Row],[DATA BASE]]), N(['[D/N']] = "N"),    [LUCRO P/ OP]), 0)</f>
        <v>1329.3362500000007</v>
      </c>
      <c r="AI61" s="15">
        <f>IF([U] = "U", SUMPRODUCT(N([DATA BASE]=NC[[#This Row],[DATA BASE]]), N(['[D/N']] = "D"),    [LUCRO P/ OP]), 0)</f>
        <v>58.623750000000058</v>
      </c>
      <c r="AJ61" s="15">
        <f>IF([U] = "U", SUMPRODUCT(N([DATA BASE]=NC[[#This Row],[DATA BASE]]), N(['[D/N']] = "D"),    [IRRF FONTE]), 0)</f>
        <v>0.57999999999999996</v>
      </c>
    </row>
    <row r="62" spans="1:36">
      <c r="A62" s="13">
        <v>61</v>
      </c>
      <c r="B62" s="13"/>
      <c r="C62" s="55" t="s">
        <v>117</v>
      </c>
      <c r="D62" s="13" t="s">
        <v>67</v>
      </c>
      <c r="E62" s="14">
        <v>41094</v>
      </c>
      <c r="F62" s="13">
        <v>1600</v>
      </c>
      <c r="G62" s="15">
        <v>2.2599999999999998</v>
      </c>
      <c r="H62" s="78"/>
      <c r="I62" s="19"/>
      <c r="J62" s="13" t="s">
        <v>6</v>
      </c>
      <c r="K62" s="14">
        <f>WORKDAY(NC[[#This Row],[DATA]],1,0)</f>
        <v>41095</v>
      </c>
      <c r="L62" s="75">
        <f>EOMONTH(NC[[#This Row],[DATA DE LIQUIDAÇÃO]],0)</f>
        <v>41121</v>
      </c>
      <c r="M6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2" s="15">
        <f>[QTDE]*[PREÇO]</f>
        <v>3615.9999999999995</v>
      </c>
      <c r="O6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-3615.9999999999995</v>
      </c>
      <c r="P6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0.99</v>
      </c>
      <c r="Q6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1.33</v>
      </c>
      <c r="R6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2.5099999999999998</v>
      </c>
      <c r="S62" s="15">
        <f>SETUP!$E$3 * IF([PARCIAL] &gt; 0, [QTDE] / [PARCIAL], 1)</f>
        <v>14.9</v>
      </c>
      <c r="T62" s="15">
        <f>SUMPRODUCT(N([DATA]=NC[[#This Row],[DATA]]),N([ID]&lt;=NC[[#This Row],[ID]]), [CORR])</f>
        <v>14.9</v>
      </c>
      <c r="U62" s="15">
        <f>TRUNC([CORRETAGEM]*SETUP!$F$3,2)</f>
        <v>0.28999999999999998</v>
      </c>
      <c r="V62" s="15">
        <f>ROUND([CORRETAGEM]*SETUP!$G$3,2)</f>
        <v>0.57999999999999996</v>
      </c>
      <c r="W62" s="15">
        <f>[VALOR LÍQUIDO DAS OPERAÇÕES]-[TAXA DE LIQUIDAÇÃO]-[EMOLUMENTOS]-[TAXA DE REGISTRO]-[CORRETAGEM]-[ISS]-IF(['[D/N']]="D",    0,    [OUTRAS BOVESPA]) - [AJUSTE]</f>
        <v>-3636.5999999999995</v>
      </c>
      <c r="X62" s="15">
        <f>IF(AND(['[D/N']]="D",    [T]="CV",    [LÍQUIDO BASE] &gt; 0),    TRUNC([LÍQUIDO BASE]*0.01, 2),    0)</f>
        <v>0</v>
      </c>
      <c r="Y62" s="15">
        <f>IF([PREÇO] &gt; 0,    [LÍQUIDO BASE]-SUMPRODUCT(N([DATA]=NC[[#This Row],[DATA]]),    [IRRF FONTE]),    0)</f>
        <v>-3636.5999999999995</v>
      </c>
      <c r="Z62" s="20">
        <f>[LÍQUIDO]-SUMPRODUCT(N([DATA]=NC[[#This Row],[DATA]]),N([ID]=(NC[[#This Row],[ID]]-1)),[LÍQUIDO])</f>
        <v>-3636.5999999999995</v>
      </c>
      <c r="AA62" s="15">
        <f>IF([T] = "VC", ABS([VALOR OP]) / [QTDE], [VALOR OP]/[QTDE])</f>
        <v>2.2728749999999995</v>
      </c>
      <c r="AB62" s="15">
        <f>TRUNC(IF(OR([T]="CV",[T]="VV"),     N62*SETUP!$H$3,     0),2)</f>
        <v>0</v>
      </c>
      <c r="AC6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2.2728749999999995</v>
      </c>
      <c r="AE6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1.4282187500000001</v>
      </c>
      <c r="AF62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-1351.4499999999991</v>
      </c>
      <c r="AG62" s="15">
        <f>IF([LUCRO TMP] &lt;&gt; 0, [LUCRO TMP] - SUMPRODUCT(N([ATIVO]=NC[[#This Row],[ATIVO]]),N(['[D/N']]="N"),N([ID]&lt;NC[[#This Row],[ID]]),N([PAR]=NC[[#This Row],[PAR]]), [LUCRO TMP]), 0)</f>
        <v>-1351.4499999999991</v>
      </c>
      <c r="AH62" s="15">
        <f>IF([U] = "U", SUMPRODUCT(N([ID]&lt;=NC[[#This Row],[ID]]),N([DATA BASE]=NC[[#This Row],[DATA BASE]]), N(['[D/N']] = "N"),    [LUCRO P/ OP]), 0)</f>
        <v>0</v>
      </c>
      <c r="AI62" s="15">
        <f>IF([U] = "U", SUMPRODUCT(N([DATA BASE]=NC[[#This Row],[DATA BASE]]), N(['[D/N']] = "D"),    [LUCRO P/ OP]), 0)</f>
        <v>0</v>
      </c>
      <c r="AJ62" s="15">
        <f>IF([U] = "U", SUMPRODUCT(N([DATA BASE]=NC[[#This Row],[DATA BASE]]), N(['[D/N']] = "D"),    [IRRF FONTE]), 0)</f>
        <v>0</v>
      </c>
    </row>
    <row r="63" spans="1:36">
      <c r="A63" s="13">
        <v>62</v>
      </c>
      <c r="B63" s="13"/>
      <c r="C63" s="55" t="s">
        <v>118</v>
      </c>
      <c r="D63" s="13" t="s">
        <v>25</v>
      </c>
      <c r="E63" s="14">
        <v>41095</v>
      </c>
      <c r="F63" s="13">
        <v>1600</v>
      </c>
      <c r="G63" s="15">
        <v>2</v>
      </c>
      <c r="H63" s="78"/>
      <c r="I63" s="19"/>
      <c r="J63" s="13" t="s">
        <v>6</v>
      </c>
      <c r="K63" s="14">
        <f>WORKDAY(NC[[#This Row],[DATA]],1,0)</f>
        <v>41096</v>
      </c>
      <c r="L63" s="75">
        <f>EOMONTH(NC[[#This Row],[DATA DE LIQUIDAÇÃO]],0)</f>
        <v>41121</v>
      </c>
      <c r="M6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N63" s="15">
        <f>[QTDE]*[PREÇO]</f>
        <v>3200</v>
      </c>
      <c r="O6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3200</v>
      </c>
      <c r="P6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0.88</v>
      </c>
      <c r="Q6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1.18</v>
      </c>
      <c r="R6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2.2200000000000002</v>
      </c>
      <c r="S63" s="15">
        <f>SETUP!$E$3 * IF([PARCIAL] &gt; 0, [QTDE] / [PARCIAL], 1)</f>
        <v>14.9</v>
      </c>
      <c r="T63" s="15">
        <f>SUMPRODUCT(N([DATA]=NC[[#This Row],[DATA]]),N([ID]&lt;=NC[[#This Row],[ID]]), [CORR])</f>
        <v>14.9</v>
      </c>
      <c r="U63" s="15">
        <f>TRUNC([CORRETAGEM]*SETUP!$F$3,2)</f>
        <v>0.28999999999999998</v>
      </c>
      <c r="V63" s="15">
        <f>ROUND([CORRETAGEM]*SETUP!$G$3,2)</f>
        <v>0.57999999999999996</v>
      </c>
      <c r="W63" s="15">
        <f>[VALOR LÍQUIDO DAS OPERAÇÕES]-[TAXA DE LIQUIDAÇÃO]-[EMOLUMENTOS]-[TAXA DE REGISTRO]-[CORRETAGEM]-[ISS]-IF(['[D/N']]="D",    0,    [OUTRAS BOVESPA]) - [AJUSTE]</f>
        <v>3179.9500000000003</v>
      </c>
      <c r="X63" s="15">
        <f>IF(AND(['[D/N']]="D",    [T]="CV",    [LÍQUIDO BASE] &gt; 0),    TRUNC([LÍQUIDO BASE]*0.01, 2),    0)</f>
        <v>0</v>
      </c>
      <c r="Y63" s="15">
        <f>IF([PREÇO] &gt; 0,    [LÍQUIDO BASE]-SUMPRODUCT(N([DATA]=NC[[#This Row],[DATA]]),    [IRRF FONTE]),    0)</f>
        <v>3179.9500000000003</v>
      </c>
      <c r="Z63" s="20">
        <f>[LÍQUIDO]-SUMPRODUCT(N([DATA]=NC[[#This Row],[DATA]]),N([ID]=(NC[[#This Row],[ID]]-1)),[LÍQUIDO])</f>
        <v>3179.9500000000003</v>
      </c>
      <c r="AA63" s="15">
        <f>IF([T] = "VC", ABS([VALOR OP]) / [QTDE], [VALOR OP]/[QTDE])</f>
        <v>1.9874687500000001</v>
      </c>
      <c r="AB63" s="15">
        <f>TRUNC(IF(OR([T]="CV",[T]="VV"),     N63*SETUP!$H$3,     0),2)</f>
        <v>0.16</v>
      </c>
      <c r="AC6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0.89103750000000004</v>
      </c>
      <c r="AE6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1.9874687500000001</v>
      </c>
      <c r="AF63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1754.2900000000004</v>
      </c>
      <c r="AG63" s="15">
        <f>IF([LUCRO TMP] &lt;&gt; 0, [LUCRO TMP] - SUMPRODUCT(N([ATIVO]=NC[[#This Row],[ATIVO]]),N(['[D/N']]="N"),N([ID]&lt;NC[[#This Row],[ID]]),N([PAR]=NC[[#This Row],[PAR]]), [LUCRO TMP]), 0)</f>
        <v>1754.2900000000004</v>
      </c>
      <c r="AH63" s="15">
        <f>IF([U] = "U", SUMPRODUCT(N([ID]&lt;=NC[[#This Row],[ID]]),N([DATA BASE]=NC[[#This Row],[DATA BASE]]), N(['[D/N']] = "N"),    [LUCRO P/ OP]), 0)</f>
        <v>0</v>
      </c>
      <c r="AI63" s="15">
        <f>IF([U] = "U", SUMPRODUCT(N([DATA BASE]=NC[[#This Row],[DATA BASE]]), N(['[D/N']] = "D"),    [LUCRO P/ OP]), 0)</f>
        <v>0</v>
      </c>
      <c r="AJ63" s="15">
        <f>IF([U] = "U", SUMPRODUCT(N([DATA BASE]=NC[[#This Row],[DATA BASE]]), N(['[D/N']] = "D"),    [IRRF FONTE]), 0)</f>
        <v>0</v>
      </c>
    </row>
    <row r="64" spans="1:36">
      <c r="A64" s="13">
        <v>63</v>
      </c>
      <c r="B64" s="13"/>
      <c r="C64" s="55" t="s">
        <v>133</v>
      </c>
      <c r="D64" s="13" t="s">
        <v>24</v>
      </c>
      <c r="E64" s="14">
        <v>41100</v>
      </c>
      <c r="F64" s="13">
        <v>3500</v>
      </c>
      <c r="G64" s="15">
        <v>0.52</v>
      </c>
      <c r="H64" s="78"/>
      <c r="I64" s="19"/>
      <c r="J64" s="13" t="s">
        <v>6</v>
      </c>
      <c r="K64" s="86">
        <f>WORKDAY(NC[[#This Row],[DATA]],1,0)</f>
        <v>41101</v>
      </c>
      <c r="L64" s="88">
        <f>EOMONTH(NC[[#This Row],[DATA DE LIQUIDAÇÃO]],0)</f>
        <v>41121</v>
      </c>
      <c r="M64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4" s="87">
        <f>[QTDE]*[PREÇO]</f>
        <v>1820</v>
      </c>
      <c r="O64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-1820</v>
      </c>
      <c r="P64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0.5</v>
      </c>
      <c r="Q64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0.67</v>
      </c>
      <c r="R64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1.26</v>
      </c>
      <c r="S64" s="87">
        <f>SETUP!$E$3 * IF([PARCIAL] &gt; 0, [QTDE] / [PARCIAL], 1)</f>
        <v>14.9</v>
      </c>
      <c r="T64" s="87">
        <f>SUMPRODUCT(N([DATA]=NC[[#This Row],[DATA]]),N([ID]&lt;=NC[[#This Row],[ID]]), [CORR])</f>
        <v>14.9</v>
      </c>
      <c r="U64" s="87">
        <f>TRUNC([CORRETAGEM]*SETUP!$F$3,2)</f>
        <v>0.28999999999999998</v>
      </c>
      <c r="V64" s="87">
        <f>ROUND([CORRETAGEM]*SETUP!$G$3,2)</f>
        <v>0.57999999999999996</v>
      </c>
      <c r="W64" s="87">
        <f>[VALOR LÍQUIDO DAS OPERAÇÕES]-[TAXA DE LIQUIDAÇÃO]-[EMOLUMENTOS]-[TAXA DE REGISTRO]-[CORRETAGEM]-[ISS]-IF(['[D/N']]="D",    0,    [OUTRAS BOVESPA]) - [AJUSTE]</f>
        <v>-1838.2</v>
      </c>
      <c r="X64" s="87">
        <f>IF(AND(['[D/N']]="D",    [T]="CV",    [LÍQUIDO BASE] &gt; 0),    TRUNC([LÍQUIDO BASE]*0.01, 2),    0)</f>
        <v>0</v>
      </c>
      <c r="Y64" s="15">
        <f>IF([PREÇO] &gt; 0,    [LÍQUIDO BASE]-SUMPRODUCT(N([DATA]=NC[[#This Row],[DATA]]),    [IRRF FONTE]),    0)</f>
        <v>-1838.2</v>
      </c>
      <c r="Z64" s="89">
        <f>[LÍQUIDO]-SUMPRODUCT(N([DATA]=NC[[#This Row],[DATA]]),N([ID]=(NC[[#This Row],[ID]]-1)),[LÍQUIDO])</f>
        <v>-1838.2</v>
      </c>
      <c r="AA64" s="87">
        <f>IF([T] = "VC", ABS([VALOR OP]) / [QTDE], [VALOR OP]/[QTDE])</f>
        <v>-0.5252</v>
      </c>
      <c r="AB64" s="87">
        <f>TRUNC(IF(OR([T]="CV",[T]="VV"),     N64*SETUP!$H$3,     0),2)</f>
        <v>0</v>
      </c>
      <c r="AC64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3500</v>
      </c>
      <c r="AD64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4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4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4" s="87">
        <f>IF([LUCRO TMP] &lt;&gt; 0, [LUCRO TMP] - SUMPRODUCT(N([ATIVO]=NC[[#This Row],[ATIVO]]),N(['[D/N']]="N"),N([ID]&lt;NC[[#This Row],[ID]]),N([PAR]=NC[[#This Row],[PAR]]), [LUCRO TMP]), 0)</f>
        <v>0</v>
      </c>
      <c r="AH64" s="87">
        <f>IF([U] = "U", SUMPRODUCT(N([ID]&lt;=NC[[#This Row],[ID]]),N([DATA BASE]=NC[[#This Row],[DATA BASE]]), N(['[D/N']] = "N"),    [LUCRO P/ OP]), 0)</f>
        <v>0</v>
      </c>
      <c r="AI64" s="87">
        <f>IF([U] = "U", SUMPRODUCT(N([DATA BASE]=NC[[#This Row],[DATA BASE]]), N(['[D/N']] = "D"),    [LUCRO P/ OP]), 0)</f>
        <v>0</v>
      </c>
      <c r="AJ64" s="87">
        <f>IF([U] = "U", SUMPRODUCT(N([DATA BASE]=NC[[#This Row],[DATA BASE]]), N(['[D/N']] = "D"),    [IRRF FONTE]), 0)</f>
        <v>0</v>
      </c>
    </row>
    <row r="65" spans="1:36">
      <c r="A65" s="13">
        <v>64</v>
      </c>
      <c r="B65" s="13"/>
      <c r="C65" s="55" t="s">
        <v>137</v>
      </c>
      <c r="D65" s="13" t="s">
        <v>24</v>
      </c>
      <c r="E65" s="14">
        <v>41101</v>
      </c>
      <c r="F65" s="13">
        <v>12300</v>
      </c>
      <c r="G65" s="15">
        <v>0.02</v>
      </c>
      <c r="H65" s="78"/>
      <c r="I65" s="19"/>
      <c r="J65" s="13" t="s">
        <v>14</v>
      </c>
      <c r="K65" s="14">
        <f>WORKDAY(NC[[#This Row],[DATA]],1,0)</f>
        <v>41102</v>
      </c>
      <c r="L65" s="75">
        <f>EOMONTH(NC[[#This Row],[DATA DE LIQUIDAÇÃO]],0)</f>
        <v>41121</v>
      </c>
      <c r="M6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5" s="15">
        <f>[QTDE]*[PREÇO]</f>
        <v>246</v>
      </c>
      <c r="O6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-246</v>
      </c>
      <c r="P6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R6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S65" s="15">
        <f>SETUP!$E$3 * IF([PARCIAL] &gt; 0, [QTDE] / [PARCIAL], 1)</f>
        <v>14.9</v>
      </c>
      <c r="T65" s="15">
        <f>SUMPRODUCT(N([DATA]=NC[[#This Row],[DATA]]),N([ID]&lt;=NC[[#This Row],[ID]]), [CORR])</f>
        <v>14.9</v>
      </c>
      <c r="U65" s="15">
        <f>TRUNC([CORRETAGEM]*SETUP!$F$3,2)</f>
        <v>0.28999999999999998</v>
      </c>
      <c r="V65" s="15">
        <f>ROUND([CORRETAGEM]*SETUP!$G$3,2)</f>
        <v>0.57999999999999996</v>
      </c>
      <c r="W65" s="15">
        <f>[VALOR LÍQUIDO DAS OPERAÇÕES]-[TAXA DE LIQUIDAÇÃO]-[EMOLUMENTOS]-[TAXA DE REGISTRO]-[CORRETAGEM]-[ISS]-IF(['[D/N']]="D",    0,    [OUTRAS BOVESPA]) - [AJUSTE]</f>
        <v>-261.28000000000003</v>
      </c>
      <c r="X65" s="15">
        <f>IF(AND(['[D/N']]="D",    [T]="CV",    [LÍQUIDO BASE] &gt; 0),    TRUNC([LÍQUIDO BASE]*0.01, 2),    0)</f>
        <v>0</v>
      </c>
      <c r="Y65" s="15">
        <f>IF([PREÇO] &gt; 0,    [LÍQUIDO BASE]-SUMPRODUCT(N([DATA]=NC[[#This Row],[DATA]]),    [IRRF FONTE]),    0)</f>
        <v>-261.28000000000003</v>
      </c>
      <c r="Z65" s="20">
        <f>[LÍQUIDO]-SUMPRODUCT(N([DATA]=NC[[#This Row],[DATA]]),N([ID]=(NC[[#This Row],[ID]]-1)),[LÍQUIDO])</f>
        <v>-261.28000000000003</v>
      </c>
      <c r="AA65" s="15">
        <f>IF([T] = "VC", ABS([VALOR OP]) / [QTDE], [VALOR OP]/[QTDE])</f>
        <v>-2.1242276422764231E-2</v>
      </c>
      <c r="AB65" s="15">
        <f>TRUNC(IF(OR([T]="CV",[T]="VV"),     N65*SETUP!$H$3,     0),2)</f>
        <v>0</v>
      </c>
      <c r="AC6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65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5" s="15">
        <f>IF([LUCRO TMP] &lt;&gt; 0, [LUCRO TMP] - SUMPRODUCT(N([ATIVO]=NC[[#This Row],[ATIVO]]),N(['[D/N']]="N"),N([ID]&lt;NC[[#This Row],[ID]]),N([PAR]=NC[[#This Row],[PAR]]), [LUCRO TMP]), 0)</f>
        <v>0</v>
      </c>
      <c r="AH65" s="15">
        <f>IF([U] = "U", SUMPRODUCT(N([ID]&lt;=NC[[#This Row],[ID]]),N([DATA BASE]=NC[[#This Row],[DATA BASE]]), N(['[D/N']] = "N"),    [LUCRO P/ OP]), 0)</f>
        <v>0</v>
      </c>
      <c r="AI65" s="15">
        <f>IF([U] = "U", SUMPRODUCT(N([DATA BASE]=NC[[#This Row],[DATA BASE]]), N(['[D/N']] = "D"),    [LUCRO P/ OP]), 0)</f>
        <v>0</v>
      </c>
      <c r="AJ65" s="15">
        <f>IF([U] = "U", SUMPRODUCT(N([DATA BASE]=NC[[#This Row],[DATA BASE]]), N(['[D/N']] = "D"),    [IRRF FONTE]), 0)</f>
        <v>0</v>
      </c>
    </row>
    <row r="66" spans="1:36">
      <c r="A66" s="13">
        <v>65</v>
      </c>
      <c r="B66" s="13"/>
      <c r="C66" s="55" t="s">
        <v>137</v>
      </c>
      <c r="D66" s="13" t="s">
        <v>25</v>
      </c>
      <c r="E66" s="14">
        <v>41101</v>
      </c>
      <c r="F66" s="13">
        <v>12300</v>
      </c>
      <c r="G66" s="15">
        <v>0.02</v>
      </c>
      <c r="H66" s="78"/>
      <c r="I66" s="19"/>
      <c r="J66" s="13" t="s">
        <v>14</v>
      </c>
      <c r="K66" s="14">
        <f>WORKDAY(NC[[#This Row],[DATA]],1,0)</f>
        <v>41102</v>
      </c>
      <c r="L66" s="75">
        <f>EOMONTH(NC[[#This Row],[DATA DE LIQUIDAÇÃO]],0)</f>
        <v>41121</v>
      </c>
      <c r="M6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N66" s="15">
        <f>[QTDE]*[PREÇO]</f>
        <v>246</v>
      </c>
      <c r="O6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P6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0.08</v>
      </c>
      <c r="Q6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R6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S66" s="15">
        <f>SETUP!$E$3 * IF([PARCIAL] &gt; 0, [QTDE] / [PARCIAL], 1)</f>
        <v>14.9</v>
      </c>
      <c r="T66" s="15">
        <f>SUMPRODUCT(N([DATA]=NC[[#This Row],[DATA]]),N([ID]&lt;=NC[[#This Row],[ID]]), [CORR])</f>
        <v>29.8</v>
      </c>
      <c r="U66" s="15">
        <f>TRUNC([CORRETAGEM]*SETUP!$F$3,2)</f>
        <v>0.59</v>
      </c>
      <c r="V66" s="15">
        <f>ROUND([CORRETAGEM]*SETUP!$G$3,2)</f>
        <v>1.1599999999999999</v>
      </c>
      <c r="W66" s="15">
        <f>[VALOR LÍQUIDO DAS OPERAÇÕES]-[TAXA DE LIQUIDAÇÃO]-[EMOLUMENTOS]-[TAXA DE REGISTRO]-[CORRETAGEM]-[ISS]-IF(['[D/N']]="D",    0,    [OUTRAS BOVESPA]) - [AJUSTE]</f>
        <v>-30.59</v>
      </c>
      <c r="X66" s="15">
        <f>IF(AND(['[D/N']]="D",    [T]="CV",    [LÍQUIDO BASE] &gt; 0),    TRUNC([LÍQUIDO BASE]*0.01, 2),    0)</f>
        <v>0</v>
      </c>
      <c r="Y66" s="15">
        <f>IF([PREÇO] &gt; 0,    [LÍQUIDO BASE]-SUMPRODUCT(N([DATA]=NC[[#This Row],[DATA]]),    [IRRF FONTE]),    0)</f>
        <v>-30.59</v>
      </c>
      <c r="Z66" s="20">
        <f>[LÍQUIDO]-SUMPRODUCT(N([DATA]=NC[[#This Row],[DATA]]),N([ID]=(NC[[#This Row],[ID]]-1)),[LÍQUIDO])</f>
        <v>230.69000000000003</v>
      </c>
      <c r="AA66" s="15">
        <f>IF([T] = "VC", ABS([VALOR OP]) / [QTDE], [VALOR OP]/[QTDE])</f>
        <v>1.875528455284553E-2</v>
      </c>
      <c r="AB66" s="15">
        <f>TRUNC(IF(OR([T]="CV",[T]="VV"),     N66*SETUP!$H$3,     0),2)</f>
        <v>0.01</v>
      </c>
      <c r="AC6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2.1242276422764231E-2</v>
      </c>
      <c r="AE6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1.875528455284553E-2</v>
      </c>
      <c r="AF66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-30.590000000000014</v>
      </c>
      <c r="AG66" s="15">
        <f>IF([LUCRO TMP] &lt;&gt; 0, [LUCRO TMP] - SUMPRODUCT(N([ATIVO]=NC[[#This Row],[ATIVO]]),N(['[D/N']]="N"),N([ID]&lt;NC[[#This Row],[ID]]),N([PAR]=NC[[#This Row],[PAR]]), [LUCRO TMP]), 0)</f>
        <v>-30.590000000000014</v>
      </c>
      <c r="AH66" s="15">
        <f>IF([U] = "U", SUMPRODUCT(N([ID]&lt;=NC[[#This Row],[ID]]),N([DATA BASE]=NC[[#This Row],[DATA BASE]]), N(['[D/N']] = "N"),    [LUCRO P/ OP]), 0)</f>
        <v>0</v>
      </c>
      <c r="AI66" s="15">
        <f>IF([U] = "U", SUMPRODUCT(N([DATA BASE]=NC[[#This Row],[DATA BASE]]), N(['[D/N']] = "D"),    [LUCRO P/ OP]), 0)</f>
        <v>0</v>
      </c>
      <c r="AJ66" s="15">
        <f>IF([U] = "U", SUMPRODUCT(N([DATA BASE]=NC[[#This Row],[DATA BASE]]), N(['[D/N']] = "D"),    [IRRF FONTE]), 0)</f>
        <v>0</v>
      </c>
    </row>
    <row r="67" spans="1:36">
      <c r="A67" s="13">
        <v>66</v>
      </c>
      <c r="B67" s="13"/>
      <c r="C67" s="92" t="s">
        <v>134</v>
      </c>
      <c r="D67" s="93" t="s">
        <v>66</v>
      </c>
      <c r="E67" s="94">
        <v>41101</v>
      </c>
      <c r="F67" s="93">
        <v>3500</v>
      </c>
      <c r="G67" s="95">
        <v>0.27</v>
      </c>
      <c r="H67" s="78"/>
      <c r="I67" s="19">
        <v>-0.01</v>
      </c>
      <c r="J67" s="13" t="s">
        <v>6</v>
      </c>
      <c r="K67" s="14">
        <f>WORKDAY(NC[[#This Row],[DATA]],1,0)</f>
        <v>41102</v>
      </c>
      <c r="L67" s="75">
        <f>EOMONTH(NC[[#This Row],[DATA DE LIQUIDAÇÃO]],0)</f>
        <v>41121</v>
      </c>
      <c r="M6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7" s="15">
        <f>[QTDE]*[PREÇO]</f>
        <v>945.00000000000011</v>
      </c>
      <c r="O6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945</v>
      </c>
      <c r="P6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Q6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</v>
      </c>
      <c r="R6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0.73</v>
      </c>
      <c r="S67" s="15">
        <f>SETUP!$E$3 * IF([PARCIAL] &gt; 0, [QTDE] / [PARCIAL], 1)</f>
        <v>14.9</v>
      </c>
      <c r="T67" s="15">
        <f>SUMPRODUCT(N([DATA]=NC[[#This Row],[DATA]]),N([ID]&lt;=NC[[#This Row],[ID]]), [CORR])</f>
        <v>44.7</v>
      </c>
      <c r="U67" s="15">
        <f>TRUNC([CORRETAGEM]*SETUP!$F$3,2)</f>
        <v>0.89</v>
      </c>
      <c r="V67" s="15">
        <f>ROUND([CORRETAGEM]*SETUP!$G$3,2)</f>
        <v>1.74</v>
      </c>
      <c r="W67" s="15">
        <f>[VALOR LÍQUIDO DAS OPERAÇÕES]-[TAXA DE LIQUIDAÇÃO]-[EMOLUMENTOS]-[TAXA DE REGISTRO]-[CORRETAGEM]-[ISS]-IF(['[D/N']]="D",    0,    [OUTRAS BOVESPA]) - [AJUSTE]</f>
        <v>896.20999999999992</v>
      </c>
      <c r="X67" s="15">
        <f>IF(AND(['[D/N']]="D",    [T]="CV",    [LÍQUIDO BASE] &gt; 0),    TRUNC([LÍQUIDO BASE]*0.01, 2),    0)</f>
        <v>0</v>
      </c>
      <c r="Y67" s="15">
        <f>IF([PREÇO] &gt; 0,    [LÍQUIDO BASE]-SUMPRODUCT(N([DATA]=NC[[#This Row],[DATA]]),    [IRRF FONTE]),    0)</f>
        <v>896.20999999999992</v>
      </c>
      <c r="Z67" s="20">
        <f>[LÍQUIDO]-SUMPRODUCT(N([DATA]=NC[[#This Row],[DATA]]),N([ID]=(NC[[#This Row],[ID]]-1)),[LÍQUIDO])</f>
        <v>926.8</v>
      </c>
      <c r="AA67" s="15">
        <f>IF([T] = "VC", ABS([VALOR OP]) / [QTDE], [VALOR OP]/[QTDE])</f>
        <v>0.26479999999999998</v>
      </c>
      <c r="AB67" s="15">
        <f>TRUNC(IF(OR([T]="CV",[T]="VV"),     N67*SETUP!$H$3,     0),2)</f>
        <v>0.04</v>
      </c>
      <c r="AC6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-3500</v>
      </c>
      <c r="AD6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E6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7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67" s="15">
        <f>IF([LUCRO TMP] &lt;&gt; 0, [LUCRO TMP] - SUMPRODUCT(N([ATIVO]=NC[[#This Row],[ATIVO]]),N(['[D/N']]="N"),N([ID]&lt;NC[[#This Row],[ID]]),N([PAR]=NC[[#This Row],[PAR]]), [LUCRO TMP]), 0)</f>
        <v>0</v>
      </c>
      <c r="AH67" s="15">
        <f>IF([U] = "U", SUMPRODUCT(N([ID]&lt;=NC[[#This Row],[ID]]),N([DATA BASE]=NC[[#This Row],[DATA BASE]]), N(['[D/N']] = "N"),    [LUCRO P/ OP]), 0)</f>
        <v>0</v>
      </c>
      <c r="AI67" s="15">
        <f>IF([U] = "U", SUMPRODUCT(N([DATA BASE]=NC[[#This Row],[DATA BASE]]), N(['[D/N']] = "D"),    [LUCRO P/ OP]), 0)</f>
        <v>0</v>
      </c>
      <c r="AJ67" s="15">
        <f>IF([U] = "U", SUMPRODUCT(N([DATA BASE]=NC[[#This Row],[DATA BASE]]), N(['[D/N']] = "D"),    [IRRF FONTE]), 0)</f>
        <v>0</v>
      </c>
    </row>
    <row r="68" spans="1:36">
      <c r="A68" s="13">
        <v>67</v>
      </c>
      <c r="B68" s="13"/>
      <c r="C68" s="104" t="s">
        <v>133</v>
      </c>
      <c r="D68" s="105" t="s">
        <v>25</v>
      </c>
      <c r="E68" s="106">
        <v>41102</v>
      </c>
      <c r="F68" s="105">
        <v>3500</v>
      </c>
      <c r="G68" s="107">
        <v>0.05</v>
      </c>
      <c r="H68" s="78"/>
      <c r="I68" s="19"/>
      <c r="J68" s="13" t="s">
        <v>6</v>
      </c>
      <c r="K68" s="86">
        <f>WORKDAY(NC[[#This Row],[DATA]],1,0)</f>
        <v>41103</v>
      </c>
      <c r="L68" s="88">
        <f>EOMONTH(NC[[#This Row],[DATA DE LIQUIDAÇÃO]],0)</f>
        <v>41121</v>
      </c>
      <c r="M68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8" s="87">
        <f>[QTDE]*[PREÇO]</f>
        <v>175</v>
      </c>
      <c r="O68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175</v>
      </c>
      <c r="P68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Q68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R68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S68" s="87">
        <f>SETUP!$E$3 * IF([PARCIAL] &gt; 0, [QTDE] / [PARCIAL], 1)</f>
        <v>14.9</v>
      </c>
      <c r="T68" s="87">
        <f>SUMPRODUCT(N([DATA]=NC[[#This Row],[DATA]]),N([ID]&lt;=NC[[#This Row],[ID]]), [CORR])</f>
        <v>14.9</v>
      </c>
      <c r="U68" s="87">
        <f>TRUNC([CORRETAGEM]*SETUP!$F$3,2)</f>
        <v>0.28999999999999998</v>
      </c>
      <c r="V68" s="87">
        <f>ROUND([CORRETAGEM]*SETUP!$G$3,2)</f>
        <v>0.57999999999999996</v>
      </c>
      <c r="W68" s="87">
        <f>[VALOR LÍQUIDO DAS OPERAÇÕES]-[TAXA DE LIQUIDAÇÃO]-[EMOLUMENTOS]-[TAXA DE REGISTRO]-[CORRETAGEM]-[ISS]-IF(['[D/N']]="D",    0,    [OUTRAS BOVESPA]) - [AJUSTE]</f>
        <v>159.01</v>
      </c>
      <c r="X68" s="87">
        <f>IF(AND(['[D/N']]="D",    [T]="CV",    [LÍQUIDO BASE] &gt; 0),    TRUNC([LÍQUIDO BASE]*0.01, 2),    0)</f>
        <v>0</v>
      </c>
      <c r="Y68" s="15">
        <f>IF([PREÇO] &gt; 0,    [LÍQUIDO BASE]-SUMPRODUCT(N([DATA]=NC[[#This Row],[DATA]]),    [IRRF FONTE]),    0)</f>
        <v>159.01</v>
      </c>
      <c r="Z68" s="89">
        <f>[LÍQUIDO]-SUMPRODUCT(N([DATA]=NC[[#This Row],[DATA]]),N([ID]=(NC[[#This Row],[ID]]-1)),[LÍQUIDO])</f>
        <v>159.01</v>
      </c>
      <c r="AA68" s="87">
        <f>IF([T] = "VC", ABS([VALOR OP]) / [QTDE], [VALOR OP]/[QTDE])</f>
        <v>4.5431428571428567E-2</v>
      </c>
      <c r="AB68" s="87">
        <f>TRUNC(IF(OR([T]="CV",[T]="VV"),     N68*SETUP!$H$3,     0),2)</f>
        <v>0</v>
      </c>
      <c r="AC68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8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0.5252</v>
      </c>
      <c r="AE68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4.5431428571428567E-2</v>
      </c>
      <c r="AF68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-1679.19</v>
      </c>
      <c r="AG68" s="87">
        <f>IF([LUCRO TMP] &lt;&gt; 0, [LUCRO TMP] - SUMPRODUCT(N([ATIVO]=NC[[#This Row],[ATIVO]]),N(['[D/N']]="N"),N([ID]&lt;NC[[#This Row],[ID]]),N([PAR]=NC[[#This Row],[PAR]]), [LUCRO TMP]), 0)</f>
        <v>-1679.19</v>
      </c>
      <c r="AH68" s="87">
        <f>IF([U] = "U", SUMPRODUCT(N([ID]&lt;=NC[[#This Row],[ID]]),N([DATA BASE]=NC[[#This Row],[DATA BASE]]), N(['[D/N']] = "N"),    [LUCRO P/ OP]), 0)</f>
        <v>0</v>
      </c>
      <c r="AI68" s="87">
        <f>IF([U] = "U", SUMPRODUCT(N([DATA BASE]=NC[[#This Row],[DATA BASE]]), N(['[D/N']] = "D"),    [LUCRO P/ OP]), 0)</f>
        <v>0</v>
      </c>
      <c r="AJ68" s="87">
        <f>IF([U] = "U", SUMPRODUCT(N([DATA BASE]=NC[[#This Row],[DATA BASE]]), N(['[D/N']] = "D"),    [IRRF FONTE]), 0)</f>
        <v>0</v>
      </c>
    </row>
    <row r="69" spans="1:36">
      <c r="A69" s="13">
        <v>68</v>
      </c>
      <c r="B69" s="13"/>
      <c r="C69" s="55" t="s">
        <v>134</v>
      </c>
      <c r="D69" s="13" t="s">
        <v>67</v>
      </c>
      <c r="E69" s="14">
        <v>41102</v>
      </c>
      <c r="F69" s="13">
        <v>3500</v>
      </c>
      <c r="G69" s="15">
        <v>0.28999999999999998</v>
      </c>
      <c r="H69" s="78"/>
      <c r="I69" s="19"/>
      <c r="J69" s="13" t="s">
        <v>6</v>
      </c>
      <c r="K69" s="14">
        <f>WORKDAY(NC[[#This Row],[DATA]],1,0)</f>
        <v>41103</v>
      </c>
      <c r="L69" s="75">
        <f>EOMONTH(NC[[#This Row],[DATA DE LIQUIDAÇÃO]],0)</f>
        <v>41121</v>
      </c>
      <c r="M6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N69" s="15">
        <f>[QTDE]*[PREÇO]</f>
        <v>1014.9999999999999</v>
      </c>
      <c r="O6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-839.99999999999989</v>
      </c>
      <c r="P6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0.32</v>
      </c>
      <c r="Q6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0.44</v>
      </c>
      <c r="R6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0.82</v>
      </c>
      <c r="S69" s="15">
        <f>SETUP!$E$3 * IF([PARCIAL] &gt; 0, [QTDE] / [PARCIAL], 1)</f>
        <v>14.9</v>
      </c>
      <c r="T69" s="15">
        <f>SUMPRODUCT(N([DATA]=NC[[#This Row],[DATA]]),N([ID]&lt;=NC[[#This Row],[ID]]), [CORR])</f>
        <v>29.8</v>
      </c>
      <c r="U69" s="15">
        <f>TRUNC([CORRETAGEM]*SETUP!$F$3,2)</f>
        <v>0.59</v>
      </c>
      <c r="V69" s="15">
        <f>ROUND([CORRETAGEM]*SETUP!$G$3,2)</f>
        <v>1.1599999999999999</v>
      </c>
      <c r="W69" s="15">
        <f>[VALOR LÍQUIDO DAS OPERAÇÕES]-[TAXA DE LIQUIDAÇÃO]-[EMOLUMENTOS]-[TAXA DE REGISTRO]-[CORRETAGEM]-[ISS]-IF(['[D/N']]="D",    0,    [OUTRAS BOVESPA]) - [AJUSTE]</f>
        <v>-873.13</v>
      </c>
      <c r="X69" s="15">
        <f>IF(AND(['[D/N']]="D",    [T]="CV",    [LÍQUIDO BASE] &gt; 0),    TRUNC([LÍQUIDO BASE]*0.01, 2),    0)</f>
        <v>0</v>
      </c>
      <c r="Y69" s="15">
        <f>IF([PREÇO] &gt; 0,    [LÍQUIDO BASE]-SUMPRODUCT(N([DATA]=NC[[#This Row],[DATA]]),    [IRRF FONTE]),    0)</f>
        <v>-873.13</v>
      </c>
      <c r="Z69" s="20">
        <f>[LÍQUIDO]-SUMPRODUCT(N([DATA]=NC[[#This Row],[DATA]]),N([ID]=(NC[[#This Row],[ID]]-1)),[LÍQUIDO])</f>
        <v>-1032.1399999999999</v>
      </c>
      <c r="AA69" s="15">
        <f>IF([T] = "VC", ABS([VALOR OP]) / [QTDE], [VALOR OP]/[QTDE])</f>
        <v>0.2948971428571428</v>
      </c>
      <c r="AB69" s="15">
        <f>TRUNC(IF(OR([T]="CV",[T]="VV"),     N69*SETUP!$H$3,     0),2)</f>
        <v>0</v>
      </c>
      <c r="AC6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6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0.2948971428571428</v>
      </c>
      <c r="AE6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0.26479999999999998</v>
      </c>
      <c r="AF69" s="37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-105.33999999999988</v>
      </c>
      <c r="AG69" s="15">
        <f>IF([LUCRO TMP] &lt;&gt; 0, [LUCRO TMP] - SUMPRODUCT(N([ATIVO]=NC[[#This Row],[ATIVO]]),N(['[D/N']]="N"),N([ID]&lt;NC[[#This Row],[ID]]),N([PAR]=NC[[#This Row],[PAR]]), [LUCRO TMP]), 0)</f>
        <v>-105.33999999999988</v>
      </c>
      <c r="AH69" s="15">
        <f>IF([U] = "U", SUMPRODUCT(N([ID]&lt;=NC[[#This Row],[ID]]),N([DATA BASE]=NC[[#This Row],[DATA BASE]]), N(['[D/N']] = "N"),    [LUCRO P/ OP]), 0)</f>
        <v>0</v>
      </c>
      <c r="AI69" s="15">
        <f>IF([U] = "U", SUMPRODUCT(N([DATA BASE]=NC[[#This Row],[DATA BASE]]), N(['[D/N']] = "D"),    [LUCRO P/ OP]), 0)</f>
        <v>0</v>
      </c>
      <c r="AJ69" s="15">
        <f>IF([U] = "U", SUMPRODUCT(N([DATA BASE]=NC[[#This Row],[DATA BASE]]), N(['[D/N']] = "D"),    [IRRF FONTE]), 0)</f>
        <v>0</v>
      </c>
    </row>
    <row r="70" spans="1:36">
      <c r="A70" s="13">
        <v>69</v>
      </c>
      <c r="B70" s="85" t="s">
        <v>49</v>
      </c>
      <c r="C70" s="55" t="s">
        <v>134</v>
      </c>
      <c r="D70" s="13" t="s">
        <v>24</v>
      </c>
      <c r="E70" s="14">
        <v>41102</v>
      </c>
      <c r="F70" s="13">
        <v>2000</v>
      </c>
      <c r="G70" s="15">
        <v>0.24</v>
      </c>
      <c r="H70" s="78"/>
      <c r="I70" s="19"/>
      <c r="J70" s="13" t="s">
        <v>6</v>
      </c>
      <c r="K70" s="86">
        <f>WORKDAY(NC[[#This Row],[DATA]],1,0)</f>
        <v>41103</v>
      </c>
      <c r="L70" s="88">
        <f>EOMONTH(NC[[#This Row],[DATA DE LIQUIDAÇÃO]],0)</f>
        <v>41121</v>
      </c>
      <c r="M70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0" s="87">
        <f>[QTDE]*[PREÇO]</f>
        <v>480</v>
      </c>
      <c r="O70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-1320</v>
      </c>
      <c r="P70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0.45</v>
      </c>
      <c r="Q70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0.61</v>
      </c>
      <c r="R70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1.1599999999999999</v>
      </c>
      <c r="S70" s="87">
        <f>SETUP!$E$3 * IF([PARCIAL] &gt; 0, [QTDE] / [PARCIAL], 1)</f>
        <v>14.9</v>
      </c>
      <c r="T70" s="87">
        <f>SUMPRODUCT(N([DATA]=NC[[#This Row],[DATA]]),N([ID]&lt;=NC[[#This Row],[ID]]), [CORR])</f>
        <v>44.7</v>
      </c>
      <c r="U70" s="87">
        <f>TRUNC([CORRETAGEM]*SETUP!$F$3,2)</f>
        <v>0.89</v>
      </c>
      <c r="V70" s="87">
        <f>ROUND([CORRETAGEM]*SETUP!$G$3,2)</f>
        <v>1.74</v>
      </c>
      <c r="W70" s="87">
        <f>[VALOR LÍQUIDO DAS OPERAÇÕES]-[TAXA DE LIQUIDAÇÃO]-[EMOLUMENTOS]-[TAXA DE REGISTRO]-[CORRETAGEM]-[ISS]-IF(['[D/N']]="D",    0,    [OUTRAS BOVESPA]) - [AJUSTE]</f>
        <v>-1369.5500000000002</v>
      </c>
      <c r="X70" s="87">
        <f>IF(AND(['[D/N']]="D",    [T]="CV",    [LÍQUIDO BASE] &gt; 0),    TRUNC([LÍQUIDO BASE]*0.01, 2),    0)</f>
        <v>0</v>
      </c>
      <c r="Y70" s="15">
        <f>IF([PREÇO] &gt; 0,    [LÍQUIDO BASE]-SUMPRODUCT(N([DATA]=NC[[#This Row],[DATA]]),    [IRRF FONTE]),    0)</f>
        <v>-1369.5500000000002</v>
      </c>
      <c r="Z70" s="89">
        <f>[LÍQUIDO]-SUMPRODUCT(N([DATA]=NC[[#This Row],[DATA]]),N([ID]=(NC[[#This Row],[ID]]-1)),[LÍQUIDO])</f>
        <v>-496.42000000000019</v>
      </c>
      <c r="AA70" s="87">
        <f>IF([T] = "VC", ABS([VALOR OP]) / [QTDE], [VALOR OP]/[QTDE])</f>
        <v>-0.2482100000000001</v>
      </c>
      <c r="AB70" s="87">
        <f>TRUNC(IF(OR([T]="CV",[T]="VV"),     N70*SETUP!$H$3,     0),2)</f>
        <v>0</v>
      </c>
      <c r="AC70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2000</v>
      </c>
      <c r="AD70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0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F70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G70" s="87">
        <f>IF([LUCRO TMP] &lt;&gt; 0, [LUCRO TMP] - SUMPRODUCT(N([ATIVO]=NC[[#This Row],[ATIVO]]),N(['[D/N']]="N"),N([ID]&lt;NC[[#This Row],[ID]]),N([PAR]=NC[[#This Row],[PAR]]), [LUCRO TMP]), 0)</f>
        <v>0</v>
      </c>
      <c r="AH70" s="87">
        <f>IF([U] = "U", SUMPRODUCT(N([ID]&lt;=NC[[#This Row],[ID]]),N([DATA BASE]=NC[[#This Row],[DATA BASE]]), N(['[D/N']] = "N"),    [LUCRO P/ OP]), 0)</f>
        <v>-1381.6899999999987</v>
      </c>
      <c r="AI70" s="87">
        <f>IF([U] = "U", SUMPRODUCT(N([DATA BASE]=NC[[#This Row],[DATA BASE]]), N(['[D/N']] = "D"),    [LUCRO P/ OP]), 0)</f>
        <v>-30.590000000000014</v>
      </c>
      <c r="AJ70" s="87">
        <f>IF([U] = "U", SUMPRODUCT(N([DATA BASE]=NC[[#This Row],[DATA BASE]]), N(['[D/N']] = "D"),    [IRRF FONTE]), 0)</f>
        <v>0</v>
      </c>
    </row>
    <row r="71" spans="1:36">
      <c r="A71" s="13">
        <v>70</v>
      </c>
      <c r="B71" s="13" t="s">
        <v>49</v>
      </c>
      <c r="C71" s="55" t="s">
        <v>134</v>
      </c>
      <c r="D71" s="85" t="s">
        <v>25</v>
      </c>
      <c r="E71" s="86">
        <v>41103</v>
      </c>
      <c r="F71" s="85">
        <v>2000</v>
      </c>
      <c r="G71" s="87">
        <v>0.5</v>
      </c>
      <c r="H71" s="99"/>
      <c r="I71" s="100"/>
      <c r="J71" s="85" t="s">
        <v>6</v>
      </c>
      <c r="K71" s="86">
        <f>WORKDAY(NC[[#This Row],[DATA]],1,0)</f>
        <v>41106</v>
      </c>
      <c r="L71" s="88">
        <f>EOMONTH(NC[[#This Row],[DATA DE LIQUIDAÇÃO]],0)</f>
        <v>41121</v>
      </c>
      <c r="M71" s="85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N71" s="87">
        <f>[QTDE]*[PREÇO]</f>
        <v>1000</v>
      </c>
      <c r="O71" s="87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1000</v>
      </c>
      <c r="P71" s="87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0.27</v>
      </c>
      <c r="Q71" s="87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0.37</v>
      </c>
      <c r="R71" s="87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0.69</v>
      </c>
      <c r="S71" s="87">
        <f>SETUP!$E$3 * IF([PARCIAL] &gt; 0, [QTDE] / [PARCIAL], 1)</f>
        <v>14.9</v>
      </c>
      <c r="T71" s="87">
        <f>SUMPRODUCT(N([DATA]=NC[[#This Row],[DATA]]),N([ID]&lt;=NC[[#This Row],[ID]]), [CORR])</f>
        <v>14.9</v>
      </c>
      <c r="U71" s="87">
        <f>TRUNC([CORRETAGEM]*SETUP!$F$3,2)</f>
        <v>0.28999999999999998</v>
      </c>
      <c r="V71" s="87">
        <f>ROUND([CORRETAGEM]*SETUP!$G$3,2)</f>
        <v>0.57999999999999996</v>
      </c>
      <c r="W71" s="87">
        <f>[VALOR LÍQUIDO DAS OPERAÇÕES]-[TAXA DE LIQUIDAÇÃO]-[EMOLUMENTOS]-[TAXA DE REGISTRO]-[CORRETAGEM]-[ISS]-IF(['[D/N']]="D",    0,    [OUTRAS BOVESPA]) - [AJUSTE]</f>
        <v>982.9</v>
      </c>
      <c r="X71" s="87">
        <f>IF(AND(['[D/N']]="D",    [T]="CV",    [LÍQUIDO BASE] &gt; 0),    TRUNC([LÍQUIDO BASE]*0.01, 2),    0)</f>
        <v>0</v>
      </c>
      <c r="Y71" s="15">
        <f>IF([PREÇO] &gt; 0,    [LÍQUIDO BASE]-SUMPRODUCT(N([DATA]=NC[[#This Row],[DATA]]),    [IRRF FONTE]),    0)</f>
        <v>982.9</v>
      </c>
      <c r="Z71" s="89">
        <f>[LÍQUIDO]-SUMPRODUCT(N([DATA]=NC[[#This Row],[DATA]]),N([ID]=(NC[[#This Row],[ID]]-1)),[LÍQUIDO])</f>
        <v>982.9</v>
      </c>
      <c r="AA71" s="87">
        <f>IF([T] = "VC", ABS([VALOR OP]) / [QTDE], [VALOR OP]/[QTDE])</f>
        <v>0.49145</v>
      </c>
      <c r="AB71" s="87">
        <f>TRUNC(IF(OR([T]="CV",[T]="VV"),     N71*SETUP!$H$3,     0),2)</f>
        <v>0.05</v>
      </c>
      <c r="AC71" s="85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D71" s="90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0.2482100000000001</v>
      </c>
      <c r="AE71" s="90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0.49145</v>
      </c>
      <c r="AF71" s="91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486.47999999999979</v>
      </c>
      <c r="AG71" s="87">
        <f>IF([LUCRO TMP] &lt;&gt; 0, [LUCRO TMP] - SUMPRODUCT(N([ATIVO]=NC[[#This Row],[ATIVO]]),N(['[D/N']]="N"),N([ID]&lt;NC[[#This Row],[ID]]),N([PAR]=NC[[#This Row],[PAR]]), [LUCRO TMP]), 0)</f>
        <v>486.47999999999979</v>
      </c>
      <c r="AH71" s="87">
        <f>IF([U] = "U", SUMPRODUCT(N([ID]&lt;=NC[[#This Row],[ID]]),N([DATA BASE]=NC[[#This Row],[DATA BASE]]), N(['[D/N']] = "N"),    [LUCRO P/ OP]), 0)</f>
        <v>-895.2099999999989</v>
      </c>
      <c r="AI71" s="87">
        <f>IF([U] = "U", SUMPRODUCT(N([DATA BASE]=NC[[#This Row],[DATA BASE]]), N(['[D/N']] = "D"),    [LUCRO P/ OP]), 0)</f>
        <v>-30.590000000000014</v>
      </c>
      <c r="AJ71" s="87">
        <f>IF([U] = "U", SUMPRODUCT(N([DATA BASE]=NC[[#This Row],[DATA BASE]]), N(['[D/N']] = "D"),    [IRRF FONTE]), 0)</f>
        <v>0</v>
      </c>
    </row>
    <row r="72" spans="1:36">
      <c r="A72" s="101">
        <f>SUBTOTAL(104,[ID])</f>
        <v>70</v>
      </c>
      <c r="B72" s="101"/>
      <c r="C72" s="101"/>
      <c r="D72" s="101"/>
      <c r="E72" s="101"/>
      <c r="F72" s="101"/>
      <c r="G72" s="101">
        <f>NC[[#Totals],[ID]]*14.9</f>
        <v>1043</v>
      </c>
      <c r="H72" s="99"/>
      <c r="I72" s="87"/>
      <c r="J72" s="101">
        <f>NC[[#Totals],[LUCRO P/ OP]]+NC[[#Totals],[PREÇO]]</f>
        <v>800.55000000000177</v>
      </c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87"/>
      <c r="X72" s="101"/>
      <c r="Y72" s="87"/>
      <c r="Z72" s="87"/>
      <c r="AA72" s="101"/>
      <c r="AB72" s="87">
        <f>SUBTOTAL(109,[IRRF])</f>
        <v>0.87000000000000011</v>
      </c>
      <c r="AC72" s="87"/>
      <c r="AD72" s="101"/>
      <c r="AE72" s="101"/>
      <c r="AF72" s="87"/>
      <c r="AG72" s="87">
        <f>SUBTOTAL(109,[LUCRO P/ OP])</f>
        <v>-242.44999999999823</v>
      </c>
      <c r="AH72" s="87"/>
      <c r="AI72" s="102"/>
      <c r="AJ72" s="103"/>
    </row>
    <row r="73" spans="1:36">
      <c r="AE7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1.25"/>
  <cols>
    <col min="1" max="1" width="9.140625" style="7"/>
    <col min="2" max="2" width="10" style="7" bestFit="1" customWidth="1"/>
    <col min="3" max="3" width="12.140625" style="7" bestFit="1" customWidth="1"/>
    <col min="4" max="4" width="8.42578125" style="7" bestFit="1" customWidth="1"/>
    <col min="5" max="5" width="10" style="7" bestFit="1" customWidth="1"/>
    <col min="6" max="6" width="12.140625" style="7" bestFit="1" customWidth="1"/>
    <col min="7" max="7" width="8.42578125" style="7" bestFit="1" customWidth="1"/>
    <col min="8" max="8" width="9.85546875" style="7" bestFit="1" customWidth="1"/>
    <col min="9" max="9" width="8.28515625" style="7" bestFit="1" customWidth="1"/>
    <col min="10" max="11" width="12.28515625" style="7" bestFit="1" customWidth="1"/>
    <col min="12" max="12" width="6.85546875" style="7" bestFit="1" customWidth="1"/>
    <col min="13" max="14" width="12" style="7" bestFit="1" customWidth="1"/>
    <col min="15" max="16384" width="9.140625" style="7"/>
  </cols>
  <sheetData>
    <row r="1" spans="1:15">
      <c r="A1" s="7" t="s">
        <v>16</v>
      </c>
      <c r="B1" s="7" t="s">
        <v>53</v>
      </c>
      <c r="C1" s="7" t="s">
        <v>119</v>
      </c>
      <c r="D1" s="7" t="s">
        <v>123</v>
      </c>
      <c r="E1" s="7" t="s">
        <v>120</v>
      </c>
      <c r="F1" s="7" t="s">
        <v>121</v>
      </c>
      <c r="G1" s="7" t="s">
        <v>124</v>
      </c>
      <c r="H1" s="7" t="s">
        <v>122</v>
      </c>
      <c r="I1" s="7" t="s">
        <v>127</v>
      </c>
      <c r="J1" s="7" t="s">
        <v>125</v>
      </c>
      <c r="K1" s="7" t="s">
        <v>126</v>
      </c>
      <c r="L1" s="7" t="s">
        <v>18</v>
      </c>
      <c r="M1" s="7" t="s">
        <v>48</v>
      </c>
      <c r="N1" s="7" t="s">
        <v>128</v>
      </c>
    </row>
    <row r="2" spans="1:15">
      <c r="A2" s="72">
        <v>40969</v>
      </c>
      <c r="B2" s="25">
        <v>-656.81</v>
      </c>
      <c r="C2" s="25">
        <v>0</v>
      </c>
      <c r="D2" s="25">
        <v>0</v>
      </c>
      <c r="E2" s="25">
        <v>478.51</v>
      </c>
      <c r="F2" s="25">
        <v>0</v>
      </c>
      <c r="G2" s="25">
        <v>4.78</v>
      </c>
      <c r="H2" s="25">
        <f>IF([LUCRO '[N']] + [DEDUÇÃO '[N']] &gt; 0, 0, [LUCRO '[N']] + [DEDUÇÃO '[N']])</f>
        <v>-656.81</v>
      </c>
      <c r="I2" s="25">
        <f>IF([LUCRO '[D']] + [DEDUÇÃO '[D']] &gt; 0, 0, [LUCRO '[D']] + [DEDUÇÃO '[D']])</f>
        <v>0</v>
      </c>
      <c r="J2" s="25">
        <f>IF([ACC '[N']] = 0, ROUND(([LUCRO '[N']] + [DEDUÇÃO '[N']]) * 15%, 2) - [IRRF '[N']], 0)</f>
        <v>0</v>
      </c>
      <c r="K2" s="25">
        <f>IF([ACC '[D']] = 0, ROUND(([LUCRO '[D']] + [DEDUÇÃO '[D']]) * 20%, 2) - [IRRF '[D']], 0)</f>
        <v>90.92</v>
      </c>
      <c r="L2" s="25">
        <f>[IRRF '[N']] + [IRRF '[D']]</f>
        <v>4.78</v>
      </c>
      <c r="M2" s="25">
        <f>[IR DEVIDO '[N']] + [IR DEVIDO '[D']]</f>
        <v>90.92</v>
      </c>
      <c r="N2" s="39">
        <f>[LUCRO '[N']] + [LUCRO '[D']] - [IR DEVIDO] - [IRRF '[N']] - [IRRF '[D']]</f>
        <v>-273.99999999999994</v>
      </c>
    </row>
    <row r="3" spans="1:15">
      <c r="A3" s="72">
        <v>41000</v>
      </c>
      <c r="B3" s="73">
        <v>-958.08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f>IF([LUCRO '[N']] + [DEDUÇÃO '[N']] &gt; 0, 0, [LUCRO '[N']] + [DEDUÇÃO '[N']])</f>
        <v>-958.08</v>
      </c>
      <c r="I3" s="73">
        <f>IF([LUCRO '[D']] + [DEDUÇÃO '[D']] &gt; 0, 0, [LUCRO '[D']] + [DEDUÇÃO '[D']])</f>
        <v>0</v>
      </c>
      <c r="J3" s="73">
        <f>IF([ACC '[N']] = 0, ROUND(([LUCRO '[N']] + [DEDUÇÃO '[N']]) * 15%, 2) - [IRRF '[N']], 0)</f>
        <v>0</v>
      </c>
      <c r="K3" s="73">
        <f>IF([ACC '[D']] = 0, ROUND(([LUCRO '[D']] + [DEDUÇÃO '[D']]) * 20%, 2) - [IRRF '[D']], 0)</f>
        <v>0</v>
      </c>
      <c r="L3" s="73">
        <f>[IRRF '[N']] + [IRRF '[D']]</f>
        <v>0</v>
      </c>
      <c r="M3" s="73">
        <f>[IR DEVIDO '[N']] + [IR DEVIDO '[D']]</f>
        <v>0</v>
      </c>
      <c r="N3" s="39">
        <f>[LUCRO '[N']] + [LUCRO '[D']] - [IR DEVIDO] - [IRRF '[N']] - [IRRF '[D']]</f>
        <v>-958.08</v>
      </c>
    </row>
    <row r="4" spans="1:15">
      <c r="A4" s="72">
        <v>41030</v>
      </c>
      <c r="B4" s="73">
        <v>431.77</v>
      </c>
      <c r="C4" s="73">
        <v>-1614.89</v>
      </c>
      <c r="D4" s="73">
        <v>0</v>
      </c>
      <c r="E4" s="73">
        <v>0</v>
      </c>
      <c r="F4" s="73">
        <v>0</v>
      </c>
      <c r="G4" s="73">
        <v>0</v>
      </c>
      <c r="H4" s="73">
        <f>IF([LUCRO '[N']] + [DEDUÇÃO '[N']] &gt; 0, 0, [LUCRO '[N']] + [DEDUÇÃO '[N']])</f>
        <v>-1183.1200000000001</v>
      </c>
      <c r="I4" s="73">
        <f>IF([LUCRO '[D']] + [DEDUÇÃO '[D']] &gt; 0, 0, [LUCRO '[D']] + [DEDUÇÃO '[D']])</f>
        <v>0</v>
      </c>
      <c r="J4" s="73">
        <f>IF([ACC '[N']] = 0, ROUND(([LUCRO '[N']] + [DEDUÇÃO '[N']]) * 15%, 2) - [IRRF '[N']], 0)</f>
        <v>0</v>
      </c>
      <c r="K4" s="73">
        <f>IF([ACC '[D']] = 0, ROUND(([LUCRO '[D']] + [DEDUÇÃO '[D']]) * 20%, 2) - [IRRF '[D']], 0)</f>
        <v>0</v>
      </c>
      <c r="L4" s="73">
        <f>[IRRF '[N']] + [IRRF '[D']]</f>
        <v>0</v>
      </c>
      <c r="M4" s="73">
        <f>[IR DEVIDO '[N']] + [IR DEVIDO '[D']]</f>
        <v>0</v>
      </c>
      <c r="N4" s="39">
        <f>[LUCRO '[N']] + [LUCRO '[D']] - [IR DEVIDO] - [IRRF '[N']] - [IRRF '[D']]</f>
        <v>431.77</v>
      </c>
    </row>
    <row r="5" spans="1:15">
      <c r="A5" s="72">
        <v>41061</v>
      </c>
      <c r="B5" s="73">
        <v>1329.34</v>
      </c>
      <c r="C5" s="73">
        <v>-1183.1199999999999</v>
      </c>
      <c r="D5" s="73">
        <v>0.17</v>
      </c>
      <c r="E5" s="73">
        <v>58.62</v>
      </c>
      <c r="F5" s="73">
        <v>0</v>
      </c>
      <c r="G5" s="73">
        <v>0.57999999999999996</v>
      </c>
      <c r="H5" s="73">
        <f>IF([LUCRO '[N']] + [DEDUÇÃO '[N']] &gt; 0, 0, [LUCRO '[N']] + [DEDUÇÃO '[N']])</f>
        <v>0</v>
      </c>
      <c r="I5" s="73">
        <f>IF([LUCRO '[D']] + [DEDUÇÃO '[D']] &gt; 0, 0, [LUCRO '[D']] + [DEDUÇÃO '[D']])</f>
        <v>0</v>
      </c>
      <c r="J5" s="73">
        <f>IF([ACC '[N']] = 0, ROUND(([LUCRO '[N']] + [DEDUÇÃO '[N']]) * 15%, 2) - [IRRF '[N']], 0)</f>
        <v>21.759999999999998</v>
      </c>
      <c r="K5" s="73">
        <f>IF([ACC '[D']] = 0, ROUND(([LUCRO '[D']] + [DEDUÇÃO '[D']]) * 20%, 2) - [IRRF '[D']], 0)</f>
        <v>11.14</v>
      </c>
      <c r="L5" s="73">
        <f>[IRRF '[N']] + [IRRF '[D']]</f>
        <v>0.75</v>
      </c>
      <c r="M5" s="73">
        <f>[IR DEVIDO '[N']] + [IR DEVIDO '[D']]</f>
        <v>32.9</v>
      </c>
      <c r="N5" s="39">
        <f>[LUCRO '[N']] + [LUCRO '[D']] - [IR DEVIDO] - [IRRF '[N']] - [IRRF '[D']]</f>
        <v>1354.3099999999997</v>
      </c>
    </row>
    <row r="6" spans="1:15">
      <c r="A6" s="7" t="s">
        <v>15</v>
      </c>
      <c r="B6" s="74"/>
      <c r="C6" s="74"/>
      <c r="D6" s="74"/>
      <c r="E6" s="74"/>
      <c r="F6" s="74"/>
      <c r="G6" s="74"/>
      <c r="H6" s="74"/>
      <c r="I6" s="74"/>
      <c r="J6" s="74"/>
      <c r="K6" s="74"/>
      <c r="L6" s="84"/>
      <c r="M6" s="74"/>
      <c r="N6" s="23">
        <f>SUBTOTAL(109,[LUCRO TOTAL])</f>
        <v>553.99999999999977</v>
      </c>
    </row>
    <row r="10" spans="1:15">
      <c r="N10" s="80"/>
      <c r="O10" s="80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1:K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H15" sqref="H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42578125" style="7" bestFit="1" customWidth="1"/>
    <col min="10" max="10" width="13.140625" style="7" bestFit="1" customWidth="1"/>
    <col min="11" max="11" width="10.7109375" style="7" bestFit="1" customWidth="1"/>
    <col min="12" max="16384" width="11.5703125" style="7"/>
  </cols>
  <sheetData>
    <row r="1" spans="1:11">
      <c r="A1" s="24" t="s">
        <v>55</v>
      </c>
      <c r="B1" s="24" t="s">
        <v>62</v>
      </c>
      <c r="C1" s="26" t="s">
        <v>56</v>
      </c>
      <c r="D1" s="26" t="s">
        <v>57</v>
      </c>
      <c r="E1" s="26" t="s">
        <v>58</v>
      </c>
      <c r="F1" s="26" t="s">
        <v>63</v>
      </c>
      <c r="G1" s="26" t="s">
        <v>1</v>
      </c>
      <c r="H1" s="26" t="s">
        <v>60</v>
      </c>
      <c r="I1" s="26" t="s">
        <v>61</v>
      </c>
      <c r="J1" s="26" t="s">
        <v>84</v>
      </c>
      <c r="K1" s="26" t="s">
        <v>136</v>
      </c>
    </row>
    <row r="2" spans="1:11">
      <c r="A2" s="7" t="s">
        <v>134</v>
      </c>
      <c r="B2" s="25">
        <v>1829.39</v>
      </c>
      <c r="C2" s="25">
        <v>39.090000000000003</v>
      </c>
      <c r="D2" s="25">
        <v>1.05</v>
      </c>
      <c r="E2" s="39">
        <v>39.72</v>
      </c>
      <c r="F2" s="28">
        <f>ROUNDDOWN([APLICAÇÃO]/[PREÇO OPÇÃO], 0)</f>
        <v>1742</v>
      </c>
      <c r="G2" s="28">
        <f>[QTDE TMP] - MOD([QTDE TMP], 100)</f>
        <v>1700</v>
      </c>
      <c r="H2" s="25">
        <f>[EXERCÍCIO] + ([PREÇO OPÇÃO] * 2)</f>
        <v>41.190000000000005</v>
      </c>
      <c r="I2" s="27">
        <f>[TARGET 100%] / [PREÇO AÇÃO] - 1</f>
        <v>3.7009063444108925E-2</v>
      </c>
      <c r="J2" s="25">
        <f>[PREÇO OPÇÃO] * [QTDE] - 30</f>
        <v>1755</v>
      </c>
      <c r="K2" s="25">
        <f>IF([PREÇO AÇÃO] &gt; [EXERCÍCIO], [PREÇO OPÇÃO] -([PREÇO AÇÃO] - [EXERCÍCIO]), [PREÇO OPÇÃO])</f>
        <v>0.42000000000000459</v>
      </c>
    </row>
    <row r="3" spans="1:11">
      <c r="A3" s="7" t="s">
        <v>133</v>
      </c>
      <c r="B3" s="25">
        <v>1829.39</v>
      </c>
      <c r="C3" s="25">
        <v>40.090000000000003</v>
      </c>
      <c r="D3" s="25">
        <v>0.83</v>
      </c>
      <c r="E3" s="39">
        <v>40.5</v>
      </c>
      <c r="F3" s="28">
        <f>ROUNDDOWN([APLICAÇÃO]/[PREÇO OPÇÃO], 0)</f>
        <v>2204</v>
      </c>
      <c r="G3" s="28">
        <f>[QTDE TMP] - MOD([QTDE TMP], 100)</f>
        <v>2200</v>
      </c>
      <c r="H3" s="25">
        <f>[EXERCÍCIO] + ([PREÇO OPÇÃO] * 2)</f>
        <v>41.75</v>
      </c>
      <c r="I3" s="27">
        <f>[TARGET 100%] / [PREÇO AÇÃO] - 1</f>
        <v>3.0864197530864113E-2</v>
      </c>
      <c r="J3" s="25">
        <f>[PREÇO OPÇÃO] * [QTDE] - 30</f>
        <v>1796</v>
      </c>
      <c r="K3" s="25">
        <f>IF([PREÇO AÇÃO] &gt; [EXERCÍCIO], [PREÇO OPÇÃO] -([PREÇO AÇÃO] - [EXERCÍCIO]), [PREÇO OPÇÃO])</f>
        <v>0.42000000000000337</v>
      </c>
    </row>
    <row r="4" spans="1:11">
      <c r="A4" s="7" t="s">
        <v>135</v>
      </c>
      <c r="B4" s="25">
        <v>1829.39</v>
      </c>
      <c r="C4" s="25">
        <v>41.09</v>
      </c>
      <c r="D4" s="25">
        <v>0.37</v>
      </c>
      <c r="E4" s="39">
        <v>40.5</v>
      </c>
      <c r="F4" s="28">
        <f>ROUNDDOWN([APLICAÇÃO]/[PREÇO OPÇÃO], 0)</f>
        <v>4944</v>
      </c>
      <c r="G4" s="28">
        <f>[QTDE TMP] - MOD([QTDE TMP], 100)</f>
        <v>4900</v>
      </c>
      <c r="H4" s="25">
        <f>[EXERCÍCIO] + ([PREÇO OPÇÃO] * 2)</f>
        <v>41.830000000000005</v>
      </c>
      <c r="I4" s="27">
        <f>[TARGET 100%] / [PREÇO AÇÃO] - 1</f>
        <v>3.2839506172839705E-2</v>
      </c>
      <c r="J4" s="25">
        <f>[PREÇO OPÇÃO] * [QTDE] - 30</f>
        <v>1783</v>
      </c>
      <c r="K4" s="25">
        <f>IF([PREÇO AÇÃO] &gt; [EXERCÍCIO], [PREÇO OPÇÃO] -([PREÇO AÇÃO] - [EXERCÍCIO]), [PREÇO OPÇÃO])</f>
        <v>0.37</v>
      </c>
    </row>
    <row r="5" spans="1:11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5"/>
  <sheetViews>
    <sheetView workbookViewId="0">
      <pane xSplit="7" ySplit="1" topLeftCell="H3" activePane="bottomRight" state="frozen"/>
      <selection pane="topRight" activeCell="H1" sqref="H1"/>
      <selection pane="bottomLeft" activeCell="A2" sqref="A2"/>
      <selection pane="bottomRight" activeCell="G5" sqref="G5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10.7109375" style="7" bestFit="1" customWidth="1"/>
    <col min="9" max="9" width="15.5703125" style="7" hidden="1" customWidth="1"/>
    <col min="10" max="10" width="15.42578125" style="7" hidden="1" customWidth="1"/>
    <col min="11" max="11" width="7.7109375" style="7" hidden="1" customWidth="1"/>
    <col min="12" max="12" width="7.5703125" style="7" bestFit="1" customWidth="1"/>
    <col min="13" max="13" width="10.71093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55</v>
      </c>
      <c r="B1" s="24" t="s">
        <v>106</v>
      </c>
      <c r="C1" s="24" t="s">
        <v>58</v>
      </c>
      <c r="D1" s="26" t="s">
        <v>72</v>
      </c>
      <c r="E1" s="26" t="s">
        <v>73</v>
      </c>
      <c r="F1" s="26" t="s">
        <v>70</v>
      </c>
      <c r="G1" s="26" t="s">
        <v>71</v>
      </c>
      <c r="H1" s="26" t="s">
        <v>115</v>
      </c>
      <c r="I1" s="26" t="s">
        <v>74</v>
      </c>
      <c r="J1" s="26" t="s">
        <v>75</v>
      </c>
      <c r="K1" s="26" t="s">
        <v>63</v>
      </c>
      <c r="L1" s="26" t="s">
        <v>1</v>
      </c>
      <c r="M1" s="26" t="s">
        <v>81</v>
      </c>
      <c r="N1" s="26" t="s">
        <v>82</v>
      </c>
      <c r="O1" s="26" t="s">
        <v>77</v>
      </c>
      <c r="P1" s="26" t="s">
        <v>78</v>
      </c>
    </row>
    <row r="2" spans="1:16">
      <c r="A2" s="7" t="s">
        <v>83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 - 60</f>
        <v>58</v>
      </c>
      <c r="N2" s="25">
        <f>[QTDE]*[PERDA P/ OPÇÃO] - 60</f>
        <v>-142</v>
      </c>
      <c r="O2" s="27">
        <f>[EXERC. VENDA]/[PREÇO AÇÃO]-1</f>
        <v>2.3226135783563029E-2</v>
      </c>
      <c r="P2" s="38">
        <f>[LUCRO*]/ABS([PERDA*])</f>
        <v>0.40845070422535212</v>
      </c>
    </row>
    <row r="3" spans="1:16">
      <c r="A3" s="7" t="s">
        <v>69</v>
      </c>
      <c r="B3" s="25">
        <v>500</v>
      </c>
      <c r="C3" s="25">
        <v>19.43</v>
      </c>
      <c r="D3" s="25">
        <v>18.829999999999998</v>
      </c>
      <c r="E3" s="25">
        <v>0.63</v>
      </c>
      <c r="F3" s="25">
        <v>19.71</v>
      </c>
      <c r="G3" s="25">
        <v>0.1</v>
      </c>
      <c r="H3" s="25">
        <f>([QTDE] * [PREÇO COMPRA]) + ([QTDE] * [PREÇO VENDA])</f>
        <v>1022</v>
      </c>
      <c r="I3" s="25">
        <f>[PREÇO VENDA]-[PREÇO COMPRA]</f>
        <v>0.53</v>
      </c>
      <c r="J3" s="25">
        <f>(0.01 - [PREÇO COMPRA]) + ([PREÇO VENDA] - ([EXERC. COMPRA]-[EXERC. VENDA]+0.01))</f>
        <v>-0.35000000000000259</v>
      </c>
      <c r="K3" s="28">
        <f>ROUNDDOWN([RISCO]/ABS([PERDA P/ OPÇÃO]), 0)</f>
        <v>1428</v>
      </c>
      <c r="L3" s="28">
        <f>[QTDE TMP] - MOD([QTDE TMP], 100)</f>
        <v>1400</v>
      </c>
      <c r="M3" s="25">
        <f>([QTDE]*[LUCRO P/ OPÇÃO]) - 60</f>
        <v>682</v>
      </c>
      <c r="N3" s="25">
        <f>[QTDE]*[PERDA P/ OPÇÃO] - 60</f>
        <v>-550.00000000000364</v>
      </c>
      <c r="O3" s="27">
        <f>[EXERC. VENDA]/[PREÇO AÇÃO]-1</f>
        <v>-3.0880082346886328E-2</v>
      </c>
      <c r="P3" s="38">
        <f>[LUCRO*]/ABS([PERDA*])</f>
        <v>1.2399999999999918</v>
      </c>
    </row>
    <row r="4" spans="1:16">
      <c r="A4" s="108" t="s">
        <v>69</v>
      </c>
      <c r="B4" s="25">
        <v>100</v>
      </c>
      <c r="C4" s="25">
        <v>19.43</v>
      </c>
      <c r="D4" s="25">
        <v>17.829999999999998</v>
      </c>
      <c r="E4" s="25">
        <v>1.59</v>
      </c>
      <c r="F4" s="25">
        <v>18.829999999999998</v>
      </c>
      <c r="G4" s="25">
        <v>0.63</v>
      </c>
      <c r="H4" s="81">
        <f>([QTDE] * [PREÇO COMPRA]) + ([QTDE] * [PREÇO VENDA])</f>
        <v>5550</v>
      </c>
      <c r="I4" s="81">
        <f>[PREÇO VENDA]-[PREÇO COMPRA]</f>
        <v>0.96000000000000008</v>
      </c>
      <c r="J4" s="81">
        <f>(0.01 - [PREÇO COMPRA]) + ([PREÇO VENDA] - ([EXERC. COMPRA]-[EXERC. VENDA]+0.01))</f>
        <v>-3.9999999999999925E-2</v>
      </c>
      <c r="K4" s="109">
        <f>ROUNDDOWN([RISCO]/ABS([PERDA P/ OPÇÃO]), 0)</f>
        <v>2500</v>
      </c>
      <c r="L4" s="109">
        <f>[QTDE TMP] - MOD([QTDE TMP], 100)</f>
        <v>2500</v>
      </c>
      <c r="M4" s="81">
        <f>([QTDE]*[LUCRO P/ OPÇÃO]) - 60</f>
        <v>2340</v>
      </c>
      <c r="N4" s="81">
        <f>[QTDE]*[PERDA P/ OPÇÃO] - 60</f>
        <v>-159.99999999999983</v>
      </c>
      <c r="O4" s="82">
        <f>[EXERC. VENDA]/[PREÇO AÇÃO]-1</f>
        <v>-8.2346886258363394E-2</v>
      </c>
      <c r="P4" s="83">
        <f>[LUCRO*]/ABS([PERDA*])</f>
        <v>14.625000000000016</v>
      </c>
    </row>
    <row r="5" spans="1:16">
      <c r="A5" s="7" t="s">
        <v>15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C3" sqref="C3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9" width="9.8554687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55</v>
      </c>
      <c r="B1" s="24" t="s">
        <v>91</v>
      </c>
      <c r="C1" s="24" t="s">
        <v>92</v>
      </c>
      <c r="D1" s="26" t="s">
        <v>93</v>
      </c>
      <c r="E1" s="26" t="s">
        <v>94</v>
      </c>
      <c r="F1" s="26" t="s">
        <v>95</v>
      </c>
      <c r="G1" s="26" t="s">
        <v>96</v>
      </c>
      <c r="H1" s="26" t="s">
        <v>97</v>
      </c>
      <c r="I1" s="26" t="s">
        <v>98</v>
      </c>
      <c r="J1" s="26" t="s">
        <v>87</v>
      </c>
      <c r="K1" s="26" t="s">
        <v>88</v>
      </c>
      <c r="L1" s="26" t="s">
        <v>89</v>
      </c>
      <c r="M1" s="26" t="s">
        <v>102</v>
      </c>
      <c r="N1" s="26" t="s">
        <v>63</v>
      </c>
      <c r="O1" s="26" t="s">
        <v>1</v>
      </c>
      <c r="P1" s="26" t="s">
        <v>101</v>
      </c>
      <c r="Q1" s="26" t="s">
        <v>100</v>
      </c>
      <c r="R1" s="26" t="s">
        <v>99</v>
      </c>
      <c r="S1" s="26" t="s">
        <v>81</v>
      </c>
      <c r="T1" s="26" t="s">
        <v>82</v>
      </c>
      <c r="U1" s="26" t="s">
        <v>86</v>
      </c>
      <c r="V1" s="26" t="s">
        <v>78</v>
      </c>
    </row>
    <row r="2" spans="1:22">
      <c r="A2" s="7" t="s">
        <v>83</v>
      </c>
      <c r="B2" s="25">
        <v>100</v>
      </c>
      <c r="C2" s="25">
        <v>18.47</v>
      </c>
      <c r="D2" s="25">
        <v>17</v>
      </c>
      <c r="E2" s="25">
        <v>1.5</v>
      </c>
      <c r="F2" s="25">
        <v>17.829999999999998</v>
      </c>
      <c r="G2" s="25">
        <v>0.74</v>
      </c>
      <c r="H2" s="25">
        <v>18.829999999999998</v>
      </c>
      <c r="I2" s="25">
        <v>0.15</v>
      </c>
      <c r="J2" s="25">
        <f>(([PR VD] - 0.01) * 2) + (([EX. VD] - [EX. CP 1] + 0.01) - [PR CP 1]) + (0.01 - [PR CP 2])</f>
        <v>0.65999999999999825</v>
      </c>
      <c r="K2" s="25">
        <f>(0.01 - [PR CP 1]) + (([PR VD] - 0.01) * 2) + (0.01 - [PR CP 2])</f>
        <v>-0.17</v>
      </c>
      <c r="L2" s="25">
        <f>(([EX. CP 2] - [EX. CP 1] + 0.01) - [PR CP 1]) + (([PR VD] - ([EX. CP 2] - [EX. VD] + 0.01)) * 2) + (0.01 - [PR CP 2])</f>
        <v>-0.34000000000000175</v>
      </c>
      <c r="M2" s="25">
        <f>IF([PERDA 1] &gt; [PERDA 2], [PERDA 2], [PERDA 1])</f>
        <v>-0.34000000000000175</v>
      </c>
      <c r="N2" s="28">
        <f>ROUNDDOWN([BASE]/ABS([PERDA]), 0)</f>
        <v>294</v>
      </c>
      <c r="O2" s="28">
        <f>[QTDE TMP] - MOD([QTDE TMP], 100)</f>
        <v>200</v>
      </c>
      <c r="P2" s="28">
        <f>Tabela245[[#This Row],[QTDE]]*2</f>
        <v>400</v>
      </c>
      <c r="Q2" s="25">
        <f>([QTDE]*[PR CP 1] + [QTDE]*[PR CP 2])</f>
        <v>330</v>
      </c>
      <c r="R2" s="25">
        <f>[QTDE]*[PR VD] * 2</f>
        <v>296</v>
      </c>
      <c r="S2" s="39">
        <f>([QTDE]*[LUCRO UNI.] - 90)</f>
        <v>41.999999999999659</v>
      </c>
      <c r="T2" s="25">
        <f>[QTDE]*[PERDA] - 90</f>
        <v>-158.00000000000034</v>
      </c>
      <c r="U2" s="27">
        <f>[EX. VD] / [PR. AÇÃO] - 1</f>
        <v>-3.4650785056848932E-2</v>
      </c>
      <c r="V2" s="38">
        <f>[LUCRO*]/ABS([PERDA*])</f>
        <v>0.26582278481012384</v>
      </c>
    </row>
    <row r="3" spans="1:22">
      <c r="A3" s="40" t="s">
        <v>15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0"/>
      <c r="V3" s="40"/>
    </row>
    <row r="4" spans="1:22">
      <c r="E4" s="23"/>
    </row>
    <row r="5" spans="1:22">
      <c r="E5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5" sqref="I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0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107</v>
      </c>
      <c r="G1" s="57" t="s">
        <v>1</v>
      </c>
      <c r="H1" s="26" t="s">
        <v>75</v>
      </c>
      <c r="I1" s="26" t="s">
        <v>111</v>
      </c>
      <c r="J1" s="26" t="s">
        <v>112</v>
      </c>
      <c r="K1" s="26" t="s">
        <v>110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58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8">
        <f>[LUCRO*]/ABS([PERDA*])</f>
        <v>1.6666666666666667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0.4</v>
      </c>
      <c r="G3" s="62">
        <v>1500</v>
      </c>
      <c r="H3" s="52">
        <f>-[RISCO]/[QTDE]</f>
        <v>-0.2</v>
      </c>
      <c r="I3" s="52">
        <f>[PR COMPRA] * [QTDE]</f>
        <v>600</v>
      </c>
      <c r="J3" s="63">
        <f>[PR VENDA]-[PR COMPRA]</f>
        <v>0.68000000000000271</v>
      </c>
      <c r="K3" s="52">
        <f>[PERDA P/ OPÇÃO] + ([EX. COMPRA] - [EX. VENDA] + 0.01) - 0.01 + [PR COMPRA]</f>
        <v>1.0800000000000027</v>
      </c>
      <c r="L3" s="52">
        <f>([QTDE]*[LUCRO UNI])</f>
        <v>1020.0000000000041</v>
      </c>
      <c r="M3" s="52">
        <f>[PERDA P/ OPÇÃO]*[QTDE]</f>
        <v>-300</v>
      </c>
      <c r="N3" s="53">
        <f>[EX. VENDA]/[PREÇO AÇÃO]-1</f>
        <v>-2.0740740740740837E-2</v>
      </c>
      <c r="O3" s="54">
        <f>[LUCRO*]/ABS([PERDA*])</f>
        <v>3.4000000000000137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0.45</v>
      </c>
      <c r="G4" s="62">
        <v>500</v>
      </c>
      <c r="H4" s="52">
        <f>-[RISCO]/[QTDE]</f>
        <v>-0.6</v>
      </c>
      <c r="I4" s="52">
        <f>[PR COMPRA] * [QTDE]</f>
        <v>225</v>
      </c>
      <c r="J4" s="63">
        <f>[PR VENDA]-[PR COMPRA]</f>
        <v>1.2800000000000027</v>
      </c>
      <c r="K4" s="52">
        <f>[PERDA P/ OPÇÃO] + ([EX. COMPRA] - [EX. VENDA] + 0.01) - 0.01 + [PR COMPRA]</f>
        <v>1.7300000000000026</v>
      </c>
      <c r="L4" s="52">
        <f>([QTDE]*[LUCRO UNI])</f>
        <v>640.00000000000136</v>
      </c>
      <c r="M4" s="52">
        <f>[PERDA P/ OPÇÃO]*[QTDE]</f>
        <v>-300</v>
      </c>
      <c r="N4" s="53">
        <f>[EX. VENDA]/[PREÇO AÇÃO]-1</f>
        <v>-7.0123456790123551E-2</v>
      </c>
      <c r="O4" s="54">
        <f>[LUCRO*]/ABS([PERDA*])</f>
        <v>2.1333333333333377</v>
      </c>
    </row>
    <row r="5" spans="1:15">
      <c r="A5" s="50" t="s">
        <v>69</v>
      </c>
      <c r="B5" s="51">
        <v>500</v>
      </c>
      <c r="C5" s="51">
        <v>17.8</v>
      </c>
      <c r="D5" s="51">
        <v>16</v>
      </c>
      <c r="E5" s="51">
        <v>17</v>
      </c>
      <c r="F5" s="51">
        <v>1.31</v>
      </c>
      <c r="G5" s="62">
        <v>2400</v>
      </c>
      <c r="H5" s="81">
        <f>-[RISCO]/[QTDE]</f>
        <v>-0.20833333333333334</v>
      </c>
      <c r="I5" s="81">
        <f>[PR COMPRA] * [QTDE]</f>
        <v>3144</v>
      </c>
      <c r="J5" s="63">
        <f>[PR VENDA]-[PR COMPRA]</f>
        <v>0.79166666666666652</v>
      </c>
      <c r="K5" s="81">
        <f>[PERDA P/ OPÇÃO] + ([EX. COMPRA] - [EX. VENDA] + 0.01) - 0.01 + [PR COMPRA]</f>
        <v>2.1016666666666666</v>
      </c>
      <c r="L5" s="81">
        <f>([QTDE]*[LUCRO UNI])</f>
        <v>1899.9999999999995</v>
      </c>
      <c r="M5" s="81">
        <f>[PERDA P/ OPÇÃO]*[QTDE]</f>
        <v>-500</v>
      </c>
      <c r="N5" s="82">
        <f>[EX. VENDA]/[PREÇO AÇÃO]-1</f>
        <v>-0.101123595505618</v>
      </c>
      <c r="O5" s="83">
        <f>[LUCRO*]/ABS([PERDA*])</f>
        <v>3.7999999999999989</v>
      </c>
    </row>
    <row r="6" spans="1:15">
      <c r="A6" s="7" t="s">
        <v>15</v>
      </c>
      <c r="B6" s="74"/>
      <c r="C6" s="74"/>
      <c r="D6" s="74"/>
      <c r="E6" s="74"/>
      <c r="F6" s="74"/>
      <c r="H6" s="74"/>
      <c r="I6" s="23"/>
      <c r="J6" s="74"/>
      <c r="K6" s="74"/>
      <c r="L6" s="74"/>
      <c r="M6" s="7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H5" sqref="H5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0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55</v>
      </c>
      <c r="B1" s="24" t="s">
        <v>106</v>
      </c>
      <c r="C1" s="24" t="s">
        <v>58</v>
      </c>
      <c r="D1" s="26" t="s">
        <v>109</v>
      </c>
      <c r="E1" s="26" t="s">
        <v>108</v>
      </c>
      <c r="F1" s="26" t="s">
        <v>110</v>
      </c>
      <c r="G1" s="26" t="s">
        <v>107</v>
      </c>
      <c r="H1" s="57" t="s">
        <v>1</v>
      </c>
      <c r="I1" s="26" t="s">
        <v>75</v>
      </c>
      <c r="J1" s="26" t="s">
        <v>115</v>
      </c>
      <c r="K1" s="26" t="s">
        <v>112</v>
      </c>
      <c r="L1" s="26" t="s">
        <v>81</v>
      </c>
      <c r="M1" s="26" t="s">
        <v>82</v>
      </c>
      <c r="N1" s="26" t="s">
        <v>77</v>
      </c>
      <c r="O1" s="26" t="s">
        <v>78</v>
      </c>
    </row>
    <row r="2" spans="1:15">
      <c r="A2" s="7" t="s">
        <v>83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58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8">
        <f>[LUCRO*]/ABS([PERDA*])</f>
        <v>1</v>
      </c>
    </row>
    <row r="3" spans="1:15">
      <c r="A3" s="50" t="s">
        <v>69</v>
      </c>
      <c r="B3" s="51">
        <v>300</v>
      </c>
      <c r="C3" s="51">
        <v>20.25</v>
      </c>
      <c r="D3" s="51">
        <v>19.829999999999998</v>
      </c>
      <c r="E3" s="51">
        <v>20.71</v>
      </c>
      <c r="F3" s="51">
        <v>0.95</v>
      </c>
      <c r="G3" s="51">
        <v>0.4</v>
      </c>
      <c r="H3" s="62">
        <v>1000</v>
      </c>
      <c r="I3" s="52">
        <f>([PR VENDA] - ([EX. COMPRA] - [EX. VENDA] + 0.01)) + (0.01 - ([PR COMPRA]))</f>
        <v>-0.33000000000000262</v>
      </c>
      <c r="J3" s="52">
        <f>[PR COMPRA] * [QTDE]</f>
        <v>400</v>
      </c>
      <c r="K3" s="63">
        <f>[PR VENDA]-[PR COMPRA]</f>
        <v>0.54999999999999993</v>
      </c>
      <c r="L3" s="52">
        <f>([QTDE]*[LUCRO UNI])</f>
        <v>549.99999999999989</v>
      </c>
      <c r="M3" s="52">
        <f>[PERDA P/ OPÇÃO]*[QTDE]</f>
        <v>-330.00000000000261</v>
      </c>
      <c r="N3" s="53">
        <f>[EX. VENDA]/[PREÇO AÇÃO]-1</f>
        <v>-2.0740740740740837E-2</v>
      </c>
      <c r="O3" s="54">
        <f>[LUCRO*]/ABS([PERDA*])</f>
        <v>1.6666666666666532</v>
      </c>
    </row>
    <row r="4" spans="1:15">
      <c r="A4" s="50" t="s">
        <v>69</v>
      </c>
      <c r="B4" s="51">
        <v>300</v>
      </c>
      <c r="C4" s="51">
        <v>20.25</v>
      </c>
      <c r="D4" s="51">
        <v>18.829999999999998</v>
      </c>
      <c r="E4" s="51">
        <v>20.71</v>
      </c>
      <c r="F4" s="51">
        <v>1.66</v>
      </c>
      <c r="G4" s="51">
        <v>0.4</v>
      </c>
      <c r="H4" s="62">
        <v>500</v>
      </c>
      <c r="I4" s="52">
        <f>([PR VENDA] - ([EX. COMPRA] - [EX. VENDA] + 0.01)) + (0.01 - ([PR COMPRA]))</f>
        <v>-0.62000000000000266</v>
      </c>
      <c r="J4" s="52">
        <f>[PR COMPRA] * [QTDE]</f>
        <v>200</v>
      </c>
      <c r="K4" s="63">
        <f>[PR VENDA]-[PR COMPRA]</f>
        <v>1.2599999999999998</v>
      </c>
      <c r="L4" s="52">
        <f>([QTDE]*[LUCRO UNI])</f>
        <v>629.99999999999989</v>
      </c>
      <c r="M4" s="52">
        <f>[PERDA P/ OPÇÃO]*[QTDE]</f>
        <v>-310.00000000000131</v>
      </c>
      <c r="N4" s="53">
        <f>[EX. VENDA]/[PREÇO AÇÃO]-1</f>
        <v>-7.0123456790123551E-2</v>
      </c>
      <c r="O4" s="54">
        <f>[LUCRO*]/ABS([PERDA*])</f>
        <v>2.0322580645161201</v>
      </c>
    </row>
    <row r="5" spans="1:15">
      <c r="A5" s="50" t="s">
        <v>69</v>
      </c>
      <c r="B5" s="51">
        <v>300</v>
      </c>
      <c r="C5" s="51">
        <v>19.37</v>
      </c>
      <c r="D5" s="51">
        <v>17.829999999999998</v>
      </c>
      <c r="E5" s="51">
        <v>18.829999999999998</v>
      </c>
      <c r="F5" s="51">
        <v>1.96</v>
      </c>
      <c r="G5" s="51">
        <v>1.24</v>
      </c>
      <c r="H5" s="62">
        <v>1000</v>
      </c>
      <c r="I5" s="52">
        <f>([PR VENDA] - ([EX. COMPRA] - [EX. VENDA] + 0.01)) + (0.01 - ([PR COMPRA]))</f>
        <v>-0.28000000000000003</v>
      </c>
      <c r="J5" s="52">
        <f>[PR COMPRA] * [QTDE]</f>
        <v>1240</v>
      </c>
      <c r="K5" s="63">
        <f>[PR VENDA]-[PR COMPRA]</f>
        <v>0.72</v>
      </c>
      <c r="L5" s="52">
        <f>([QTDE]*[LUCRO UNI])</f>
        <v>720</v>
      </c>
      <c r="M5" s="52">
        <f>[PERDA P/ OPÇÃO]*[QTDE]</f>
        <v>-280</v>
      </c>
      <c r="N5" s="53">
        <f>[EX. VENDA]/[PREÇO AÇÃO]-1</f>
        <v>-7.9504388229220568E-2</v>
      </c>
      <c r="O5" s="54">
        <f>[LUCRO*]/ABS([PERDA*])</f>
        <v>2.5714285714285716</v>
      </c>
    </row>
    <row r="6" spans="1:15">
      <c r="A6" s="40" t="s">
        <v>15</v>
      </c>
      <c r="B6" s="41"/>
      <c r="C6" s="41"/>
      <c r="D6" s="41"/>
      <c r="E6" s="41"/>
      <c r="F6" s="41"/>
      <c r="G6" s="41"/>
      <c r="H6" s="59"/>
      <c r="I6" s="41"/>
      <c r="J6" s="61"/>
      <c r="K6" s="41"/>
      <c r="L6" s="41"/>
      <c r="M6" s="41"/>
      <c r="N6" s="40"/>
      <c r="O6" s="4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E16" sqref="E16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98" t="s">
        <v>7</v>
      </c>
      <c r="B1" s="98"/>
      <c r="C1" s="98" t="s">
        <v>8</v>
      </c>
      <c r="D1" s="98"/>
      <c r="E1" s="97" t="s">
        <v>9</v>
      </c>
      <c r="F1" s="97" t="s">
        <v>4</v>
      </c>
      <c r="G1" s="97" t="s">
        <v>10</v>
      </c>
      <c r="H1" s="97" t="s">
        <v>11</v>
      </c>
      <c r="I1" s="97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97"/>
      <c r="F2" s="97"/>
      <c r="G2" s="97"/>
      <c r="H2" s="97"/>
      <c r="I2" s="97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96" t="s">
        <v>26</v>
      </c>
      <c r="B4" s="96"/>
      <c r="C4" s="96"/>
      <c r="D4" s="96"/>
      <c r="E4" s="96"/>
      <c r="F4" s="96"/>
    </row>
    <row r="5" spans="1:9">
      <c r="A5" s="96" t="s">
        <v>7</v>
      </c>
      <c r="B5" s="96"/>
      <c r="C5" s="96"/>
      <c r="D5" s="96" t="s">
        <v>8</v>
      </c>
      <c r="E5" s="96"/>
      <c r="F5" s="96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NOTAS</vt:lpstr>
      <vt:lpstr>IR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2012-07-13T20:24:03Z</dcterms:modified>
</cp:coreProperties>
</file>