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2030" windowHeight="5655" tabRatio="211" firstSheet="1" activeTab="1"/>
  </bookViews>
  <sheets>
    <sheet name="Planilha1" sheetId="1" r:id="rId1"/>
    <sheet name="PATRIMONIO" sheetId="2" r:id="rId2"/>
    <sheet name="RF" sheetId="3" r:id="rId3"/>
  </sheet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E2"/>
  <c r="E3"/>
  <c r="E4"/>
  <c r="E5"/>
  <c r="E6"/>
  <c r="E7"/>
  <c r="E8"/>
  <c r="E9"/>
  <c r="E10"/>
  <c r="E11"/>
  <c r="F2" i="3"/>
  <c r="F3"/>
  <c r="F4"/>
  <c r="F5"/>
  <c r="C6" l="1"/>
  <c r="B6"/>
  <c r="A6"/>
  <c r="D5"/>
  <c r="D4"/>
  <c r="D3"/>
  <c r="D2"/>
  <c r="G11" i="2"/>
  <c r="H11"/>
  <c r="I11"/>
  <c r="E2" i="3" l="1"/>
  <c r="E3"/>
  <c r="E4"/>
  <c r="E5"/>
  <c r="G10" i="2"/>
  <c r="A12"/>
  <c r="H5" i="3" l="1"/>
  <c r="G5"/>
  <c r="H4"/>
  <c r="G4"/>
  <c r="H3"/>
  <c r="G3"/>
  <c r="H2"/>
  <c r="G2"/>
  <c r="B12" i="2"/>
  <c r="D12"/>
  <c r="E12" s="1"/>
  <c r="G12" s="1"/>
  <c r="O4" i="1"/>
  <c r="H10" i="2" l="1"/>
  <c r="I10"/>
  <c r="G3"/>
  <c r="G2"/>
  <c r="G4"/>
  <c r="G5"/>
  <c r="G6"/>
  <c r="G7"/>
  <c r="G8"/>
  <c r="G9"/>
  <c r="P2" i="1"/>
  <c r="P3"/>
  <c r="H9" i="2" l="1"/>
  <c r="I9"/>
  <c r="H8"/>
  <c r="I8"/>
  <c r="H7"/>
  <c r="I7"/>
  <c r="H6"/>
  <c r="I6"/>
  <c r="H5"/>
  <c r="I5"/>
  <c r="H4"/>
  <c r="I4"/>
  <c r="H2"/>
  <c r="I2"/>
  <c r="H3"/>
  <c r="I3"/>
  <c r="Q3" i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E12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<sst xmlns="http://schemas.openxmlformats.org/spreadsheetml/2006/main" count="38" uniqueCount="28">
  <si>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</si>
  <si>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</si>
  <si>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</si>
  <si>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</si>
  <si>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</si>
  <si>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</si>
  <si>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</si>
  <si>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</si>
  <si>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</si>
  <si>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</si>
  <si>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</si>
  <si>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</si>
  <si>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</si>
  <si>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</si>
  <si>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</si>
  <si>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</si>
  <si>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</si>
  <si>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</si>
  <si>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</si>
  <si>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</si>
  <si>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</si>
  <si>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</si>
  <si>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</si>
  <si>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</si>
  <si>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</si>
  <si>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</si>
  <si>
    <t>META MAX</t>
  </si>
  <si>
    <t>RESGATE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</si>
</sst>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77" dataDxfId="76">
  <autoFilter ref="A1:T3"/>
  <tableColumns count="20">
    <tableColumn id="1" name="ANO" totalsRowLabel="Total" dataDxfId="75" totalsRowDxfId="74"/>
    <tableColumn id="18" name="MESES" dataDxfId="73" totalsRowDxfId="72"/>
    <tableColumn id="2" name="JAN" dataDxfId="71" totalsRowDxfId="70"/>
    <tableColumn id="3" name="FEV" dataDxfId="69" totalsRowDxfId="68"/>
    <tableColumn id="4" name="MAR" dataDxfId="67" totalsRowDxfId="66"/>
    <tableColumn id="5" name="ABR" dataDxfId="65" totalsRowDxfId="64"/>
    <tableColumn id="6" name="MAI" dataDxfId="63" totalsRowDxfId="62"/>
    <tableColumn id="7" name="JUN" dataDxfId="61" totalsRowDxfId="60"/>
    <tableColumn id="8" name="JUL" dataDxfId="59" totalsRowDxfId="58"/>
    <tableColumn id="9" name="AGO" dataDxfId="57" totalsRowDxfId="56"/>
    <tableColumn id="10" name="SET" dataDxfId="55" totalsRowDxfId="54"/>
    <tableColumn id="11" name="OUT" dataDxfId="53" totalsRowDxfId="52"/>
    <tableColumn id="12" name="NOV" dataDxfId="51" totalsRowDxfId="50"/>
    <tableColumn id="13" name="DEZ" dataDxfId="49" totalsRowDxfId="48"/>
    <tableColumn id="15" name="LUCRO" totalsRowFunction="sum" dataDxfId="47" totalsRowDxfId="46"/>
    <tableColumn id="21" name="TOTAL" dataDxfId="45" totalsRowDxfId="44">
      <calculatedColumnFormula>SUM(Tabela2[[#This Row],[JAN]]:Tabela2[[#This Row],[DEZ]])</calculatedColumnFormula>
    </tableColumn>
    <tableColumn id="14" name="ANO BASE" dataDxfId="43" totalsRowDxfId="42">
      <calculatedColumnFormula>SUMPRODUCT(N([ANO]&lt;=Tabela2[[#This Row],[ANO]]),[TOTAL])+SUMPRODUCT(N([ANO]=Tabela2[[#This Row],[ANO]]-1),[LUCRO])</calculatedColumnFormula>
    </tableColumn>
    <tableColumn id="16" name="MONTANTE" dataDxfId="41" totalsRowDxfId="40">
      <calculatedColumnFormula>[ANO BASE]+[LUCRO]</calculatedColumnFormula>
    </tableColumn>
    <tableColumn id="17" name="% a.a" dataDxfId="39" totalsRowDxfId="38">
      <calculatedColumnFormula>IF([ANO BASE]=0,0,[LUCRO]/[ANO BASE])</calculatedColumnFormula>
    </tableColumn>
    <tableColumn id="19" name="% a.m" dataDxfId="37" totalsRowDxfId="36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I12" totalsRowCount="1" headerRowDxfId="35" dataDxfId="34">
  <autoFilter ref="A1:I11">
    <filterColumn colId="2"/>
    <filterColumn colId="5"/>
    <filterColumn colId="7"/>
    <filterColumn colId="8"/>
  </autoFilter>
  <tableColumns count="9">
    <tableColumn id="1" name="DATA" totalsRowFunction="count" dataDxfId="33" totalsRowDxfId="9"/>
    <tableColumn id="20" name="APLICAÇÃO" totalsRowFunction="sum" totalsRowDxfId="8" dataCellStyle="Moeda"/>
    <tableColumn id="5" name="RESGATE" dataDxfId="11" totalsRowDxfId="7" dataCellStyle="Moeda"/>
    <tableColumn id="22" name="LUCRO" totalsRowFunction="sum" dataDxfId="32" totalsRowDxfId="6" dataCellStyle="Moeda"/>
    <tableColumn id="25" name="MONTANTE" totalsRowFunction="custom" dataDxfId="10" totalsRowDxfId="5" dataCellStyle="Moeda">
      <calculatedColumnFormula>SUMPRODUCT(N([DATA]&lt;=Tabela22[[#This Row],[DATA]]),[APLICAÇÃO]) + SUMPRODUCT(N([DATA]&lt;=Tabela22[[#This Row],[DATA]]),[LUCRO]) + SUMPRODUCT(N([DATA]&lt;=Tabela22[[#This Row],[DATA]]),[RESGATE])</calculatedColumnFormula>
      <totalsRowFormula>Tabela22[[#Totals],[LUCRO]]/Tabela22[[#Totals],[APLICAÇÃO]]</totalsRowFormula>
    </tableColumn>
    <tableColumn id="2" name="MONTANTE - LUCRO" dataDxfId="0" totalsRowDxfId="4" dataCellStyle="Moeda">
      <calculatedColumnFormula>IF([LUCRO] &gt; 0, [MONTANTE] - [LUCRO] - [RESGATE], [MONTANTE] - [RESGATE])</calculatedColumnFormula>
    </tableColumn>
    <tableColumn id="24" name="RENT. % a.m." totalsRowFunction="custom" dataDxfId="31" totalsRowDxfId="3" dataCellStyle="Porcentagem">
      <calculatedColumnFormula>[LUCRO]/([MONTANTE] - [LUCRO])</calculatedColumnFormula>
      <totalsRowFormula>(1 + Tabela22[[#Totals],[MONTANTE]]) ^ (1/12) - 1</totalsRowFormula>
    </tableColumn>
    <tableColumn id="3" name="META MIN" dataDxfId="30" totalsRowDxfId="2" dataCellStyle="Moeda">
      <calculatedColumnFormula>[MONTANTE - LUCRO] * 3%</calculatedColumnFormula>
    </tableColumn>
    <tableColumn id="4" name="META MAX" dataDxfId="29" totalsRowDxfId="1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24" displayName="Tabela224" ref="A1:H6" totalsRowCount="1" headerRowDxfId="28" dataDxfId="27">
  <autoFilter ref="A1:H5"/>
  <tableColumns count="8">
    <tableColumn id="1" name="DATA" totalsRowFunction="count" dataDxfId="26" totalsRowDxfId="20"/>
    <tableColumn id="20" name="APLICAÇÃO" totalsRowFunction="sum" totalsRowDxfId="19" dataCellStyle="Moeda"/>
    <tableColumn id="22" name="LUCRO" totalsRowFunction="sum" dataDxfId="25" totalsRowDxfId="18" dataCellStyle="Moeda"/>
    <tableColumn id="25" name="MONTANTE" dataDxfId="24" totalsRowDxfId="17" dataCellStyle="Moeda">
      <calculatedColumnFormula>SUMPRODUCT(N([DATA]&lt;=Tabela224[[#This Row],[DATA]]),[APLICAÇÃO]) + SUMPRODUCT(N([DATA]&lt;=Tabela224[[#This Row],[DATA]]),[LUCRO])</calculatedColumnFormula>
    </tableColumn>
    <tableColumn id="2" name="MONTANTE - LUCRO" dataDxfId="23" totalsRowDxfId="16" dataCellStyle="Moeda">
      <calculatedColumnFormula>[MONTANTE] - [LUCRO]</calculatedColumnFormula>
    </tableColumn>
    <tableColumn id="24" name="RENT. % a.m." dataDxfId="12" totalsRowDxfId="15" dataCellStyle="Porcentagem">
      <calculatedColumnFormula>IF([MONTANTE] - [LUCRO] = 0, 0, [LUCRO]/(([MONTANTE] + ABS(SUMPRODUCT(N([DATA]&lt;=Tabela224[[#This Row],[DATA]]),[APLICAÇÃO]) )) - [LUCRO]))</calculatedColumnFormula>
    </tableColumn>
    <tableColumn id="3" name="META MIN" dataDxfId="22" totalsRowDxfId="14" dataCellStyle="Moeda">
      <calculatedColumnFormula>[MONTANTE - LUCRO] * 3%</calculatedColumnFormula>
    </tableColumn>
    <tableColumn id="4" name="META MAX" dataDxfId="21" totalsRowDxfId="13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F21" sqref="F21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8.85546875" style="2" bestFit="1" customWidth="1"/>
    <col min="4" max="4" width="13.7109375" style="8" bestFit="1" customWidth="1"/>
    <col min="5" max="5" width="16.28515625" style="2" customWidth="1"/>
    <col min="6" max="6" width="16.28515625" style="2" bestFit="1" customWidth="1"/>
    <col min="7" max="7" width="11.42578125" style="2" bestFit="1" customWidth="1"/>
    <col min="8" max="9" width="10.5703125" style="2" bestFit="1" customWidth="1"/>
    <col min="10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1" s="6" customFormat="1">
      <c r="A1" s="5" t="s">
        <v>21</v>
      </c>
      <c r="B1" s="5" t="s">
        <v>22</v>
      </c>
      <c r="C1" s="5" t="s">
        <v>27</v>
      </c>
      <c r="D1" s="5" t="s">
        <v>18</v>
      </c>
      <c r="E1" s="5" t="s">
        <v>2</v>
      </c>
      <c r="F1" s="5" t="s">
        <v>24</v>
      </c>
      <c r="G1" s="9" t="s">
        <v>23</v>
      </c>
      <c r="H1" s="5" t="s">
        <v>25</v>
      </c>
      <c r="I1" s="5" t="s">
        <v>26</v>
      </c>
    </row>
    <row r="2" spans="1:11" s="1" customFormat="1">
      <c r="A2" s="15">
        <v>40817</v>
      </c>
      <c r="B2" s="7">
        <v>2099.15</v>
      </c>
      <c r="C2" s="7">
        <v>0</v>
      </c>
      <c r="D2" s="7">
        <v>6.08</v>
      </c>
      <c r="E2" s="7">
        <f>SUMPRODUCT(N([DATA]&lt;=Tabela22[[#This Row],[DATA]]),[APLICAÇÃO]) + SUMPRODUCT(N([DATA]&lt;=Tabela22[[#This Row],[DATA]]),[LUCRO]) + SUMPRODUCT(N([DATA]&lt;=Tabela22[[#This Row],[DATA]]),[RESGATE])</f>
        <v>2105.23</v>
      </c>
      <c r="F2" s="7">
        <f>IF([LUCRO] &gt; 0, [MONTANTE] - [LUCRO] - [RESGATE], [MONTANTE] - [RESGATE])</f>
        <v>2099.15</v>
      </c>
      <c r="G2" s="8">
        <f>[LUCRO]/([MONTANTE] - [LUCRO])</f>
        <v>2.8964104518495581E-3</v>
      </c>
      <c r="H2" s="7">
        <f>[MONTANTE - LUCRO] * 3%</f>
        <v>62.974499999999999</v>
      </c>
      <c r="I2" s="7">
        <f>[MONTANTE - LUCRO] * 20%</f>
        <v>419.83000000000004</v>
      </c>
    </row>
    <row r="3" spans="1:11">
      <c r="A3" s="15">
        <v>40848</v>
      </c>
      <c r="B3" s="7">
        <v>2607.9899999999998</v>
      </c>
      <c r="C3" s="7">
        <v>0</v>
      </c>
      <c r="D3" s="7">
        <v>14.22</v>
      </c>
      <c r="E3" s="7">
        <f>SUMPRODUCT(N([DATA]&lt;=Tabela22[[#This Row],[DATA]]),[APLICAÇÃO]) + SUMPRODUCT(N([DATA]&lt;=Tabela22[[#This Row],[DATA]]),[LUCRO]) + SUMPRODUCT(N([DATA]&lt;=Tabela22[[#This Row],[DATA]]),[RESGATE])</f>
        <v>4727.4399999999996</v>
      </c>
      <c r="F3" s="7">
        <f>IF([LUCRO] &gt; 0, [MONTANTE] - [LUCRO] - [RESGATE], [MONTANTE] - [RESGATE])</f>
        <v>4713.2199999999993</v>
      </c>
      <c r="G3" s="8">
        <f>[LUCRO]/([MONTANTE] - [LUCRO])</f>
        <v>3.0170456715366569E-3</v>
      </c>
      <c r="H3" s="7">
        <f>[MONTANTE - LUCRO] * 3%</f>
        <v>141.39659999999998</v>
      </c>
      <c r="I3" s="10">
        <f>[MONTANTE - LUCRO] * 20%</f>
        <v>942.64399999999989</v>
      </c>
    </row>
    <row r="4" spans="1:11">
      <c r="A4" s="15">
        <v>40878</v>
      </c>
      <c r="B4" s="7">
        <v>1319.32</v>
      </c>
      <c r="C4" s="7">
        <v>0</v>
      </c>
      <c r="D4" s="7">
        <v>297.39999999999998</v>
      </c>
      <c r="E4" s="10">
        <f>SUMPRODUCT(N([DATA]&lt;=Tabela22[[#This Row],[DATA]]),[APLICAÇÃO]) + SUMPRODUCT(N([DATA]&lt;=Tabela22[[#This Row],[DATA]]),[LUCRO]) + SUMPRODUCT(N([DATA]&lt;=Tabela22[[#This Row],[DATA]]),[RESGATE])</f>
        <v>6344.1599999999989</v>
      </c>
      <c r="F4" s="10">
        <f>IF([LUCRO] &gt; 0, [MONTANTE] - [LUCRO] - [RESGATE], [MONTANTE] - [RESGATE])</f>
        <v>6046.7599999999993</v>
      </c>
      <c r="G4" s="8">
        <f>[LUCRO]/([MONTANTE] - [LUCRO])</f>
        <v>4.9183364314112021E-2</v>
      </c>
      <c r="H4" s="10">
        <f>[MONTANTE - LUCRO] * 3%</f>
        <v>181.40279999999998</v>
      </c>
      <c r="I4" s="10">
        <f>[MONTANTE - LUCRO] * 20%</f>
        <v>1209.3519999999999</v>
      </c>
    </row>
    <row r="5" spans="1:11">
      <c r="A5" s="15">
        <v>40909</v>
      </c>
      <c r="B5" s="7">
        <v>572.30999999999995</v>
      </c>
      <c r="C5" s="7">
        <v>0</v>
      </c>
      <c r="D5" s="7">
        <v>-466.58</v>
      </c>
      <c r="E5" s="10">
        <f>SUMPRODUCT(N([DATA]&lt;=Tabela22[[#This Row],[DATA]]),[APLICAÇÃO]) + SUMPRODUCT(N([DATA]&lt;=Tabela22[[#This Row],[DATA]]),[LUCRO]) + SUMPRODUCT(N([DATA]&lt;=Tabela22[[#This Row],[DATA]]),[RESGATE])</f>
        <v>6449.8899999999985</v>
      </c>
      <c r="F5" s="10">
        <f>IF([LUCRO] &gt; 0, [MONTANTE] - [LUCRO] - [RESGATE], [MONTANTE] - [RESGATE])</f>
        <v>6449.8899999999985</v>
      </c>
      <c r="G5" s="8">
        <f>[LUCRO]/([MONTANTE] - [LUCRO])</f>
        <v>-6.7459267516522176E-2</v>
      </c>
      <c r="H5" s="10">
        <f>[MONTANTE - LUCRO] * 3%</f>
        <v>193.49669999999995</v>
      </c>
      <c r="I5" s="10">
        <f>[MONTANTE - LUCRO] * 20%</f>
        <v>1289.9779999999998</v>
      </c>
    </row>
    <row r="6" spans="1:11">
      <c r="A6" s="15">
        <v>40940</v>
      </c>
      <c r="B6" s="7">
        <v>167</v>
      </c>
      <c r="C6" s="7">
        <v>0</v>
      </c>
      <c r="D6" s="7">
        <v>-1345.15</v>
      </c>
      <c r="E6" s="10">
        <f>SUMPRODUCT(N([DATA]&lt;=Tabela22[[#This Row],[DATA]]),[APLICAÇÃO]) + SUMPRODUCT(N([DATA]&lt;=Tabela22[[#This Row],[DATA]]),[LUCRO]) + SUMPRODUCT(N([DATA]&lt;=Tabela22[[#This Row],[DATA]]),[RESGATE])</f>
        <v>5271.739999999998</v>
      </c>
      <c r="F6" s="10">
        <f>IF([LUCRO] &gt; 0, [MONTANTE] - [LUCRO] - [RESGATE], [MONTANTE] - [RESGATE])</f>
        <v>5271.739999999998</v>
      </c>
      <c r="G6" s="8">
        <f>[LUCRO]/([MONTANTE] - [LUCRO])</f>
        <v>-0.20329036752915652</v>
      </c>
      <c r="H6" s="10">
        <f>[MONTANTE - LUCRO] * 3%</f>
        <v>158.15219999999994</v>
      </c>
      <c r="I6" s="10">
        <f>[MONTANTE - LUCRO] * 20%</f>
        <v>1054.3479999999997</v>
      </c>
    </row>
    <row r="7" spans="1:11">
      <c r="A7" s="15">
        <v>40969</v>
      </c>
      <c r="B7" s="7">
        <v>0</v>
      </c>
      <c r="C7" s="7">
        <v>0</v>
      </c>
      <c r="D7" s="7">
        <v>-554.19000000000005</v>
      </c>
      <c r="E7" s="10">
        <f>SUMPRODUCT(N([DATA]&lt;=Tabela22[[#This Row],[DATA]]),[APLICAÇÃO]) + SUMPRODUCT(N([DATA]&lt;=Tabela22[[#This Row],[DATA]]),[LUCRO]) + SUMPRODUCT(N([DATA]&lt;=Tabela22[[#This Row],[DATA]]),[RESGATE])</f>
        <v>4717.5499999999984</v>
      </c>
      <c r="F7" s="10">
        <f>IF([LUCRO] &gt; 0, [MONTANTE] - [LUCRO] - [RESGATE], [MONTANTE] - [RESGATE])</f>
        <v>4717.5499999999984</v>
      </c>
      <c r="G7" s="8">
        <f>[LUCRO]/([MONTANTE] - [LUCRO])</f>
        <v>-0.10512468369077388</v>
      </c>
      <c r="H7" s="10">
        <f>[MONTANTE - LUCRO] * 3%</f>
        <v>141.52649999999994</v>
      </c>
      <c r="I7" s="10">
        <f>[MONTANTE - LUCRO] * 20%</f>
        <v>943.50999999999976</v>
      </c>
    </row>
    <row r="8" spans="1:11">
      <c r="A8" s="15">
        <v>41000</v>
      </c>
      <c r="B8" s="7">
        <v>0</v>
      </c>
      <c r="C8" s="7">
        <v>0</v>
      </c>
      <c r="D8" s="7">
        <v>-1162.72</v>
      </c>
      <c r="E8" s="10">
        <f>SUMPRODUCT(N([DATA]&lt;=Tabela22[[#This Row],[DATA]]),[APLICAÇÃO]) + SUMPRODUCT(N([DATA]&lt;=Tabela22[[#This Row],[DATA]]),[LUCRO]) + SUMPRODUCT(N([DATA]&lt;=Tabela22[[#This Row],[DATA]]),[RESGATE])</f>
        <v>3554.8299999999981</v>
      </c>
      <c r="F8" s="10">
        <f>IF([LUCRO] &gt; 0, [MONTANTE] - [LUCRO] - [RESGATE], [MONTANTE] - [RESGATE])</f>
        <v>3554.8299999999981</v>
      </c>
      <c r="G8" s="8">
        <f>[LUCRO]/([MONTANTE] - [LUCRO])</f>
        <v>-0.24646691608991964</v>
      </c>
      <c r="H8" s="10">
        <f>[MONTANTE - LUCRO] * 3%</f>
        <v>106.64489999999994</v>
      </c>
      <c r="I8" s="10">
        <f>[MONTANTE - LUCRO] * 20%</f>
        <v>710.96599999999967</v>
      </c>
      <c r="K8" s="13"/>
    </row>
    <row r="9" spans="1:11">
      <c r="A9" s="15">
        <v>41030</v>
      </c>
      <c r="B9" s="7">
        <v>735.79</v>
      </c>
      <c r="C9" s="7">
        <v>0</v>
      </c>
      <c r="D9" s="7">
        <v>513.62</v>
      </c>
      <c r="E9" s="10">
        <f>SUMPRODUCT(N([DATA]&lt;=Tabela22[[#This Row],[DATA]]),[APLICAÇÃO]) + SUMPRODUCT(N([DATA]&lt;=Tabela22[[#This Row],[DATA]]),[LUCRO]) + SUMPRODUCT(N([DATA]&lt;=Tabela22[[#This Row],[DATA]]),[RESGATE])</f>
        <v>4804.239999999998</v>
      </c>
      <c r="F9" s="10">
        <f>IF([LUCRO] &gt; 0, [MONTANTE] - [LUCRO] - [RESGATE], [MONTANTE] - [RESGATE])</f>
        <v>4290.6199999999981</v>
      </c>
      <c r="G9" s="8">
        <f>[LUCRO]/([MONTANTE] - [LUCRO])</f>
        <v>0.11970764131990254</v>
      </c>
      <c r="H9" s="10">
        <f>[MONTANTE - LUCRO] * 3%</f>
        <v>128.71859999999992</v>
      </c>
      <c r="I9" s="10">
        <f>[MONTANTE - LUCRO] * 20%</f>
        <v>858.12399999999968</v>
      </c>
    </row>
    <row r="10" spans="1:11">
      <c r="A10" s="15">
        <v>41061</v>
      </c>
      <c r="B10" s="7">
        <v>249.4</v>
      </c>
      <c r="C10" s="7">
        <v>0</v>
      </c>
      <c r="D10" s="16">
        <v>916.88</v>
      </c>
      <c r="E10" s="17">
        <f>SUMPRODUCT(N([DATA]&lt;=Tabela22[[#This Row],[DATA]]),[APLICAÇÃO]) + SUMPRODUCT(N([DATA]&lt;=Tabela22[[#This Row],[DATA]]),[LUCRO]) + SUMPRODUCT(N([DATA]&lt;=Tabela22[[#This Row],[DATA]]),[RESGATE])</f>
        <v>5970.5199999999977</v>
      </c>
      <c r="F10" s="17">
        <f>IF([LUCRO] &gt; 0, [MONTANTE] - [LUCRO] - [RESGATE], [MONTANTE] - [RESGATE])</f>
        <v>5053.6399999999976</v>
      </c>
      <c r="G10" s="18">
        <f>[LUCRO]/([MONTANTE] - [LUCRO])</f>
        <v>0.18142962300440879</v>
      </c>
      <c r="H10" s="17">
        <f>[MONTANTE - LUCRO] * 3%</f>
        <v>151.60919999999993</v>
      </c>
      <c r="I10" s="10">
        <f>[MONTANTE - LUCRO] * 20%</f>
        <v>1010.7279999999996</v>
      </c>
    </row>
    <row r="11" spans="1:11">
      <c r="A11" s="15">
        <v>41091</v>
      </c>
      <c r="B11" s="7">
        <v>250.45</v>
      </c>
      <c r="C11" s="7">
        <v>-600</v>
      </c>
      <c r="D11" s="7">
        <v>-926.8</v>
      </c>
      <c r="E11" s="10">
        <f>SUMPRODUCT(N([DATA]&lt;=Tabela22[[#This Row],[DATA]]),[APLICAÇÃO]) + SUMPRODUCT(N([DATA]&lt;=Tabela22[[#This Row],[DATA]]),[LUCRO]) + SUMPRODUCT(N([DATA]&lt;=Tabela22[[#This Row],[DATA]]),[RESGATE])</f>
        <v>4694.1699999999973</v>
      </c>
      <c r="F11" s="10">
        <f>IF([LUCRO] &gt; 0, [MONTANTE] - [LUCRO] - [RESGATE], [MONTANTE] - [RESGATE])</f>
        <v>5294.1699999999973</v>
      </c>
      <c r="G11" s="8">
        <f>[LUCRO]/([MONTANTE] - [LUCRO])</f>
        <v>-0.16488257364832054</v>
      </c>
      <c r="H11" s="10">
        <f>[MONTANTE - LUCRO] * 3%</f>
        <v>158.82509999999991</v>
      </c>
      <c r="I11" s="10">
        <f>[MONTANTE - LUCRO] * 20%</f>
        <v>1058.8339999999996</v>
      </c>
    </row>
    <row r="12" spans="1:11">
      <c r="A12" s="2">
        <f>SUBTOTAL(103,[DATA])</f>
        <v>10</v>
      </c>
      <c r="B12" s="11">
        <f>SUBTOTAL(109,[APLICAÇÃO])</f>
        <v>8001.409999999998</v>
      </c>
      <c r="C12" s="11"/>
      <c r="D12" s="11">
        <f>SUBTOTAL(109,[LUCRO])</f>
        <v>-2707.2400000000007</v>
      </c>
      <c r="E12" s="4">
        <f>Tabela22[[#Totals],[LUCRO]]/Tabela22[[#Totals],[APLICAÇÃO]]</f>
        <v>-0.33834536662913178</v>
      </c>
      <c r="F12" s="4"/>
      <c r="G12" s="4">
        <f>(1 + Tabela22[[#Totals],[MONTANTE]]) ^ (1/12) - 1</f>
        <v>-3.3832080422891431E-2</v>
      </c>
      <c r="H12" s="4"/>
    </row>
    <row r="14" spans="1:11">
      <c r="C14" s="11"/>
    </row>
    <row r="16" spans="1:11">
      <c r="C16" s="11"/>
      <c r="D16" s="14"/>
      <c r="E16" s="11"/>
    </row>
    <row r="17" spans="4:4">
      <c r="D17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5" sqref="C5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10.5703125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0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  <c r="H1" s="5" t="s">
        <v>26</v>
      </c>
    </row>
    <row r="2" spans="1:10">
      <c r="A2" s="15">
        <v>41000</v>
      </c>
      <c r="B2" s="7">
        <v>0</v>
      </c>
      <c r="C2" s="7">
        <v>293.5</v>
      </c>
      <c r="D2" s="10">
        <f>SUMPRODUCT(N([DATA]&lt;=Tabela224[[#This Row],[DATA]]),[APLICAÇÃO]) + SUMPRODUCT(N([DATA]&lt;=Tabela224[[#This Row],[DATA]]),[LUCRO])</f>
        <v>293.5</v>
      </c>
      <c r="E2" s="10">
        <f>[MONTANTE] - [LUCRO]</f>
        <v>0</v>
      </c>
      <c r="F2" s="8">
        <f>IF([MONTANTE] - [LUCRO] = 0, 0, [LUCRO]/(([MONTANTE] + ABS(SUMPRODUCT(N([DATA]&lt;=Tabela224[[#This Row],[DATA]]),[APLICAÇÃO]) )) - [LUCRO]))</f>
        <v>0</v>
      </c>
      <c r="G2" s="10">
        <f>[MONTANTE - LUCRO] * 3%</f>
        <v>0</v>
      </c>
      <c r="H2" s="10">
        <f>[MONTANTE - LUCRO] * 20%</f>
        <v>0</v>
      </c>
      <c r="J2" s="13"/>
    </row>
    <row r="3" spans="1:10">
      <c r="A3" s="15">
        <v>41030</v>
      </c>
      <c r="B3" s="7">
        <v>0</v>
      </c>
      <c r="C3" s="7">
        <v>409.3</v>
      </c>
      <c r="D3" s="10">
        <f>SUMPRODUCT(N([DATA]&lt;=Tabela224[[#This Row],[DATA]]),[APLICAÇÃO]) + SUMPRODUCT(N([DATA]&lt;=Tabela224[[#This Row],[DATA]]),[LUCRO])</f>
        <v>702.8</v>
      </c>
      <c r="E3" s="10">
        <f>[MONTANTE] - [LUCRO]</f>
        <v>293.49999999999994</v>
      </c>
      <c r="F3" s="8">
        <f>IF([MONTANTE] - [LUCRO] = 0, 0, [LUCRO]/(([MONTANTE] + ABS(SUMPRODUCT(N([DATA]&lt;=Tabela224[[#This Row],[DATA]]),[APLICAÇÃO]) )) - [LUCRO]))</f>
        <v>1.3945485519591145</v>
      </c>
      <c r="G3" s="10">
        <f>[MONTANTE - LUCRO] * 3%</f>
        <v>8.8049999999999979</v>
      </c>
      <c r="H3" s="10">
        <f>[MONTANTE - LUCRO] * 20%</f>
        <v>58.699999999999989</v>
      </c>
    </row>
    <row r="4" spans="1:10">
      <c r="A4" s="15">
        <v>41061</v>
      </c>
      <c r="B4" s="7">
        <v>0</v>
      </c>
      <c r="C4" s="16">
        <v>1037.6199999999999</v>
      </c>
      <c r="D4" s="17">
        <f>SUMPRODUCT(N([DATA]&lt;=Tabela224[[#This Row],[DATA]]),[APLICAÇÃO]) + SUMPRODUCT(N([DATA]&lt;=Tabela224[[#This Row],[DATA]]),[LUCRO])</f>
        <v>1740.4199999999998</v>
      </c>
      <c r="E4" s="17">
        <f>[MONTANTE] - [LUCRO]</f>
        <v>702.8</v>
      </c>
      <c r="F4" s="18">
        <f>IF([MONTANTE] - [LUCRO] = 0, 0, [LUCRO]/(([MONTANTE] + ABS(SUMPRODUCT(N([DATA]&lt;=Tabela224[[#This Row],[DATA]]),[APLICAÇÃO]) )) - [LUCRO]))</f>
        <v>1.4764086511098462</v>
      </c>
      <c r="G4" s="17">
        <f>[MONTANTE - LUCRO] * 3%</f>
        <v>21.084</v>
      </c>
      <c r="H4" s="10">
        <f>[MONTANTE - LUCRO] * 20%</f>
        <v>140.56</v>
      </c>
    </row>
    <row r="5" spans="1:10">
      <c r="A5" s="15">
        <v>41091</v>
      </c>
      <c r="B5" s="7">
        <v>-600</v>
      </c>
      <c r="C5" s="7">
        <v>322.47000000000003</v>
      </c>
      <c r="D5" s="10">
        <f>SUMPRODUCT(N([DATA]&lt;=Tabela224[[#This Row],[DATA]]),[APLICAÇÃO]) + SUMPRODUCT(N([DATA]&lt;=Tabela224[[#This Row],[DATA]]),[LUCRO])</f>
        <v>1462.8899999999999</v>
      </c>
      <c r="E5" s="10">
        <f>[MONTANTE] - [LUCRO]</f>
        <v>1140.4199999999998</v>
      </c>
      <c r="F5" s="8">
        <f>IF([MONTANTE] - [LUCRO] = 0, 0, [LUCRO]/(([MONTANTE] + ABS(SUMPRODUCT(N([DATA]&lt;=Tabela224[[#This Row],[DATA]]),[APLICAÇÃO]) )) - [LUCRO]))</f>
        <v>0.18528286275726552</v>
      </c>
      <c r="G5" s="10">
        <f>[MONTANTE - LUCRO] * 3%</f>
        <v>34.212599999999995</v>
      </c>
      <c r="H5" s="10">
        <f>[MONTANTE - LUCRO] * 20%</f>
        <v>228.08399999999997</v>
      </c>
    </row>
    <row r="6" spans="1:10">
      <c r="A6" s="2">
        <f>SUBTOTAL(103,[DATA])</f>
        <v>4</v>
      </c>
      <c r="B6" s="11">
        <f>SUBTOTAL(109,[APLICAÇÃO])</f>
        <v>-600</v>
      </c>
      <c r="C6" s="11">
        <f>SUBTOTAL(109,[LUCRO])</f>
        <v>2062.89</v>
      </c>
      <c r="D6" s="4"/>
      <c r="E6" s="4"/>
      <c r="F6" s="4"/>
      <c r="G6" s="4"/>
    </row>
    <row r="8" spans="1:10">
      <c r="C8" s="11"/>
    </row>
    <row r="10" spans="1:10">
      <c r="C10" s="11"/>
      <c r="D10" s="14"/>
      <c r="E10" s="11"/>
    </row>
    <row r="11" spans="1:10">
      <c r="D11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2012-07-13T19:59:37Z</dcterms:modified>
</cp:coreProperties>
</file>