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7245"/>
  </bookViews>
  <sheets>
    <sheet name="Operações" sheetId="1" r:id="rId1"/>
    <sheet name="Plan4" sheetId="4" r:id="rId2"/>
    <sheet name="Plan2" sheetId="2" r:id="rId3"/>
    <sheet name="Plan3" sheetId="3" r:id="rId4"/>
  </sheets>
  <calcPr calcId="124519"/>
  <pivotCaches>
    <pivotCache cacheId="74" r:id="rId5"/>
  </pivotCaches>
</workbook>
</file>

<file path=xl/calcChain.xml><?xml version="1.0" encoding="utf-8"?>
<calcChain xmlns="http://schemas.openxmlformats.org/spreadsheetml/2006/main">
  <c r="P93" i="1"/>
  <c r="B92"/>
  <c r="D92"/>
  <c r="E92"/>
  <c r="F92"/>
  <c r="G92"/>
  <c r="M92"/>
  <c r="N92"/>
  <c r="O92"/>
  <c r="R92"/>
  <c r="S92"/>
  <c r="T92"/>
  <c r="B91"/>
  <c r="D91"/>
  <c r="E91"/>
  <c r="F91"/>
  <c r="G91"/>
  <c r="M91"/>
  <c r="S91"/>
  <c r="T91"/>
  <c r="B90"/>
  <c r="D90"/>
  <c r="E90"/>
  <c r="F90"/>
  <c r="G90"/>
  <c r="M90"/>
  <c r="O90"/>
  <c r="R90"/>
  <c r="S90"/>
  <c r="T90"/>
  <c r="B89"/>
  <c r="D89"/>
  <c r="E89"/>
  <c r="F89"/>
  <c r="G89"/>
  <c r="M89"/>
  <c r="S89"/>
  <c r="T89"/>
  <c r="B88"/>
  <c r="D88"/>
  <c r="E88"/>
  <c r="F88"/>
  <c r="G88"/>
  <c r="M88"/>
  <c r="S88"/>
  <c r="T88"/>
  <c r="B87"/>
  <c r="D87"/>
  <c r="E87"/>
  <c r="F87"/>
  <c r="G87"/>
  <c r="M87"/>
  <c r="O87"/>
  <c r="R87"/>
  <c r="S87"/>
  <c r="T87"/>
  <c r="B86"/>
  <c r="D86"/>
  <c r="E86"/>
  <c r="F86"/>
  <c r="G86"/>
  <c r="M86"/>
  <c r="O86"/>
  <c r="R86"/>
  <c r="S86"/>
  <c r="T86"/>
  <c r="B84"/>
  <c r="B85"/>
  <c r="D84"/>
  <c r="D85"/>
  <c r="E84"/>
  <c r="E85"/>
  <c r="F84"/>
  <c r="F85"/>
  <c r="G84"/>
  <c r="G85"/>
  <c r="M84"/>
  <c r="M85"/>
  <c r="O85"/>
  <c r="R85"/>
  <c r="S84"/>
  <c r="S85"/>
  <c r="T84"/>
  <c r="T85"/>
  <c r="B83"/>
  <c r="D83"/>
  <c r="E83"/>
  <c r="F83"/>
  <c r="G83"/>
  <c r="M83"/>
  <c r="S83"/>
  <c r="T83"/>
  <c r="B82"/>
  <c r="D82"/>
  <c r="E82"/>
  <c r="F82"/>
  <c r="G82"/>
  <c r="M82"/>
  <c r="O82"/>
  <c r="R82"/>
  <c r="S82"/>
  <c r="T82"/>
  <c r="B81"/>
  <c r="D81"/>
  <c r="E81"/>
  <c r="F81"/>
  <c r="G81"/>
  <c r="M81"/>
  <c r="O81"/>
  <c r="R81"/>
  <c r="S81"/>
  <c r="T81"/>
  <c r="B80"/>
  <c r="D80"/>
  <c r="E80"/>
  <c r="F80"/>
  <c r="G80"/>
  <c r="M80"/>
  <c r="S80"/>
  <c r="B78"/>
  <c r="B79"/>
  <c r="D78"/>
  <c r="D79"/>
  <c r="E78"/>
  <c r="E79"/>
  <c r="F78"/>
  <c r="F79"/>
  <c r="G78"/>
  <c r="G79"/>
  <c r="M78"/>
  <c r="M79"/>
  <c r="S78"/>
  <c r="S79"/>
  <c r="T78"/>
  <c r="T79"/>
  <c r="B77"/>
  <c r="D77"/>
  <c r="E77"/>
  <c r="F77"/>
  <c r="G77"/>
  <c r="M77"/>
  <c r="S77"/>
  <c r="T77"/>
  <c r="B76"/>
  <c r="D76"/>
  <c r="E76"/>
  <c r="F76"/>
  <c r="G76"/>
  <c r="M76"/>
  <c r="O76"/>
  <c r="R76"/>
  <c r="S76"/>
  <c r="T76"/>
  <c r="B74"/>
  <c r="B75"/>
  <c r="D74"/>
  <c r="D75"/>
  <c r="E74"/>
  <c r="E75"/>
  <c r="F74"/>
  <c r="F75"/>
  <c r="G74"/>
  <c r="G75"/>
  <c r="M74"/>
  <c r="M75"/>
  <c r="O74"/>
  <c r="O75"/>
  <c r="R75" s="1"/>
  <c r="R74"/>
  <c r="S74"/>
  <c r="S75"/>
  <c r="T74"/>
  <c r="T75"/>
  <c r="B70"/>
  <c r="B71"/>
  <c r="B72"/>
  <c r="B73"/>
  <c r="D70"/>
  <c r="D71"/>
  <c r="D72"/>
  <c r="D73"/>
  <c r="E70"/>
  <c r="E71"/>
  <c r="E72"/>
  <c r="E73"/>
  <c r="F70"/>
  <c r="F71"/>
  <c r="F72"/>
  <c r="F73"/>
  <c r="G70"/>
  <c r="G71"/>
  <c r="G72"/>
  <c r="G73"/>
  <c r="M70"/>
  <c r="M71"/>
  <c r="M72"/>
  <c r="M73"/>
  <c r="O71"/>
  <c r="O73"/>
  <c r="R71"/>
  <c r="R73"/>
  <c r="S70"/>
  <c r="S71"/>
  <c r="S72"/>
  <c r="S73"/>
  <c r="T70"/>
  <c r="T71"/>
  <c r="T72"/>
  <c r="T73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68"/>
  <c r="T69"/>
  <c r="B68"/>
  <c r="B69"/>
  <c r="D68"/>
  <c r="D69"/>
  <c r="E68"/>
  <c r="E69"/>
  <c r="F68"/>
  <c r="F69"/>
  <c r="G68"/>
  <c r="G69"/>
  <c r="M68"/>
  <c r="M69"/>
  <c r="O68"/>
  <c r="O69"/>
  <c r="R68"/>
  <c r="R69"/>
  <c r="S68"/>
  <c r="S69"/>
  <c r="B67"/>
  <c r="D67"/>
  <c r="E67"/>
  <c r="F67"/>
  <c r="G67"/>
  <c r="M67"/>
  <c r="O67"/>
  <c r="R67"/>
  <c r="S67"/>
  <c r="B66"/>
  <c r="D66"/>
  <c r="E66"/>
  <c r="F66"/>
  <c r="G66"/>
  <c r="M66"/>
  <c r="S66"/>
  <c r="B65"/>
  <c r="D65"/>
  <c r="E65"/>
  <c r="F65"/>
  <c r="G65"/>
  <c r="M65"/>
  <c r="O65"/>
  <c r="R65"/>
  <c r="S65"/>
  <c r="B64"/>
  <c r="D64"/>
  <c r="E64"/>
  <c r="F64"/>
  <c r="G64"/>
  <c r="M64"/>
  <c r="O64"/>
  <c r="R64"/>
  <c r="S64"/>
  <c r="B63"/>
  <c r="D63"/>
  <c r="E63"/>
  <c r="F63"/>
  <c r="G63"/>
  <c r="M63"/>
  <c r="S63"/>
  <c r="B61"/>
  <c r="B62"/>
  <c r="D61"/>
  <c r="D62"/>
  <c r="E61"/>
  <c r="E62"/>
  <c r="F61"/>
  <c r="F62"/>
  <c r="G61"/>
  <c r="G62"/>
  <c r="M61"/>
  <c r="M62"/>
  <c r="S61"/>
  <c r="S62"/>
  <c r="B60"/>
  <c r="D60"/>
  <c r="E60"/>
  <c r="F60"/>
  <c r="G60"/>
  <c r="M60"/>
  <c r="S60"/>
  <c r="B58"/>
  <c r="B59"/>
  <c r="D58"/>
  <c r="D59"/>
  <c r="E58"/>
  <c r="E59"/>
  <c r="F58"/>
  <c r="F59"/>
  <c r="G58"/>
  <c r="G59"/>
  <c r="M58"/>
  <c r="M59"/>
  <c r="O58"/>
  <c r="R58"/>
  <c r="S58"/>
  <c r="S59"/>
  <c r="B56"/>
  <c r="B57"/>
  <c r="D56"/>
  <c r="D57"/>
  <c r="E56"/>
  <c r="E57"/>
  <c r="F56"/>
  <c r="F57"/>
  <c r="G56"/>
  <c r="G57"/>
  <c r="M56"/>
  <c r="M57"/>
  <c r="O56"/>
  <c r="R56"/>
  <c r="S56"/>
  <c r="S57"/>
  <c r="B55"/>
  <c r="D55"/>
  <c r="E55"/>
  <c r="F55"/>
  <c r="G55"/>
  <c r="M55"/>
  <c r="O55"/>
  <c r="R55"/>
  <c r="S55"/>
  <c r="B54"/>
  <c r="D54"/>
  <c r="E54"/>
  <c r="F54"/>
  <c r="G54"/>
  <c r="M54"/>
  <c r="S54"/>
  <c r="O2"/>
  <c r="O4"/>
  <c r="O6"/>
  <c r="O7"/>
  <c r="O8"/>
  <c r="O9"/>
  <c r="O11"/>
  <c r="O13"/>
  <c r="O14"/>
  <c r="O15"/>
  <c r="O16"/>
  <c r="O17"/>
  <c r="O19"/>
  <c r="O20"/>
  <c r="O22"/>
  <c r="O25"/>
  <c r="O27"/>
  <c r="O29"/>
  <c r="O30"/>
  <c r="O31"/>
  <c r="O33"/>
  <c r="O36"/>
  <c r="O37"/>
  <c r="O38"/>
  <c r="O39"/>
  <c r="O41"/>
  <c r="O42"/>
  <c r="O43"/>
  <c r="O44"/>
  <c r="O47"/>
  <c r="O49"/>
  <c r="O50"/>
  <c r="O52"/>
  <c r="B53"/>
  <c r="D53"/>
  <c r="E53"/>
  <c r="F53"/>
  <c r="G53"/>
  <c r="M53"/>
  <c r="S53"/>
  <c r="B52"/>
  <c r="D52"/>
  <c r="E52"/>
  <c r="F52"/>
  <c r="G52"/>
  <c r="M52"/>
  <c r="R52"/>
  <c r="S52"/>
  <c r="B51"/>
  <c r="D51"/>
  <c r="E51"/>
  <c r="F51"/>
  <c r="G51"/>
  <c r="M51"/>
  <c r="S51"/>
  <c r="B50"/>
  <c r="D50"/>
  <c r="E50"/>
  <c r="F50"/>
  <c r="G50"/>
  <c r="M50"/>
  <c r="R50"/>
  <c r="S50"/>
  <c r="B49"/>
  <c r="D49"/>
  <c r="E49"/>
  <c r="F49"/>
  <c r="G49"/>
  <c r="M49"/>
  <c r="R49"/>
  <c r="S49"/>
  <c r="B48"/>
  <c r="D48"/>
  <c r="E48"/>
  <c r="F48"/>
  <c r="G48"/>
  <c r="M48"/>
  <c r="S48"/>
  <c r="B47"/>
  <c r="D47"/>
  <c r="E47"/>
  <c r="F47"/>
  <c r="G47"/>
  <c r="M47"/>
  <c r="R47"/>
  <c r="S47"/>
  <c r="B46"/>
  <c r="D46"/>
  <c r="E46"/>
  <c r="F46"/>
  <c r="G46"/>
  <c r="M46"/>
  <c r="S46"/>
  <c r="B45"/>
  <c r="D45"/>
  <c r="E45"/>
  <c r="F45"/>
  <c r="G45"/>
  <c r="M45"/>
  <c r="S45"/>
  <c r="B44"/>
  <c r="D44"/>
  <c r="E44"/>
  <c r="F44"/>
  <c r="G44"/>
  <c r="M44"/>
  <c r="R44"/>
  <c r="S44"/>
  <c r="B2"/>
  <c r="N91" s="1"/>
  <c r="O91" s="1"/>
  <c r="R91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N43" s="1"/>
  <c r="D43"/>
  <c r="E43"/>
  <c r="F43"/>
  <c r="G43"/>
  <c r="M43"/>
  <c r="S43"/>
  <c r="D41"/>
  <c r="D42"/>
  <c r="E41"/>
  <c r="E42"/>
  <c r="F41"/>
  <c r="F42"/>
  <c r="G41"/>
  <c r="G42"/>
  <c r="M41"/>
  <c r="M42"/>
  <c r="R41"/>
  <c r="R42"/>
  <c r="S41"/>
  <c r="S42"/>
  <c r="D40"/>
  <c r="E40"/>
  <c r="F40"/>
  <c r="G40"/>
  <c r="M40"/>
  <c r="S40"/>
  <c r="D39"/>
  <c r="E39"/>
  <c r="F39"/>
  <c r="G39"/>
  <c r="M39"/>
  <c r="R39"/>
  <c r="S39"/>
  <c r="D38"/>
  <c r="E38"/>
  <c r="F38"/>
  <c r="G38"/>
  <c r="M38"/>
  <c r="R38"/>
  <c r="S38"/>
  <c r="D36"/>
  <c r="G36" s="1"/>
  <c r="D37"/>
  <c r="G37" s="1"/>
  <c r="E36"/>
  <c r="E37"/>
  <c r="F36"/>
  <c r="F37"/>
  <c r="M36"/>
  <c r="M37"/>
  <c r="R36"/>
  <c r="R37"/>
  <c r="S36"/>
  <c r="S37"/>
  <c r="D35"/>
  <c r="G35" s="1"/>
  <c r="E35"/>
  <c r="F35"/>
  <c r="M35"/>
  <c r="S35"/>
  <c r="D34"/>
  <c r="G34" s="1"/>
  <c r="E34"/>
  <c r="F34"/>
  <c r="M34"/>
  <c r="S34"/>
  <c r="D32"/>
  <c r="G32" s="1"/>
  <c r="D33"/>
  <c r="G33" s="1"/>
  <c r="E32"/>
  <c r="E33"/>
  <c r="F32"/>
  <c r="F33"/>
  <c r="M32"/>
  <c r="M33"/>
  <c r="R33"/>
  <c r="S32"/>
  <c r="S33"/>
  <c r="D30"/>
  <c r="G30" s="1"/>
  <c r="D31"/>
  <c r="G31" s="1"/>
  <c r="E30"/>
  <c r="E31"/>
  <c r="F30"/>
  <c r="F31"/>
  <c r="M30"/>
  <c r="M31"/>
  <c r="R30"/>
  <c r="R31"/>
  <c r="S30"/>
  <c r="S31"/>
  <c r="D29"/>
  <c r="G29" s="1"/>
  <c r="E29"/>
  <c r="F29"/>
  <c r="M29"/>
  <c r="R29"/>
  <c r="S29"/>
  <c r="D27"/>
  <c r="G27" s="1"/>
  <c r="D28"/>
  <c r="G28" s="1"/>
  <c r="E27"/>
  <c r="E28"/>
  <c r="F27"/>
  <c r="F28"/>
  <c r="M27"/>
  <c r="M28"/>
  <c r="R27"/>
  <c r="S27"/>
  <c r="S28"/>
  <c r="D25"/>
  <c r="G25" s="1"/>
  <c r="D26"/>
  <c r="G26" s="1"/>
  <c r="E25"/>
  <c r="E26"/>
  <c r="F25"/>
  <c r="F26"/>
  <c r="M25"/>
  <c r="M26"/>
  <c r="R25"/>
  <c r="S25"/>
  <c r="S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R19"/>
  <c r="R20"/>
  <c r="R22"/>
  <c r="S19"/>
  <c r="S20"/>
  <c r="S21"/>
  <c r="S22"/>
  <c r="S23"/>
  <c r="S24"/>
  <c r="L93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S18"/>
  <c r="D17"/>
  <c r="G17" s="1"/>
  <c r="E17"/>
  <c r="F17"/>
  <c r="R17"/>
  <c r="S17"/>
  <c r="D16"/>
  <c r="G16" s="1"/>
  <c r="E16"/>
  <c r="F16"/>
  <c r="S16"/>
  <c r="D15"/>
  <c r="G15" s="1"/>
  <c r="E15"/>
  <c r="F15"/>
  <c r="R15"/>
  <c r="S15"/>
  <c r="D14"/>
  <c r="G14" s="1"/>
  <c r="E14"/>
  <c r="F14"/>
  <c r="R14"/>
  <c r="S14"/>
  <c r="D13"/>
  <c r="G13" s="1"/>
  <c r="E13"/>
  <c r="F13"/>
  <c r="R13"/>
  <c r="S13"/>
  <c r="D12"/>
  <c r="G12" s="1"/>
  <c r="E12"/>
  <c r="F12"/>
  <c r="S12"/>
  <c r="D11"/>
  <c r="G11" s="1"/>
  <c r="E11"/>
  <c r="F11"/>
  <c r="R11"/>
  <c r="S11"/>
  <c r="D10"/>
  <c r="G10" s="1"/>
  <c r="E10"/>
  <c r="F10"/>
  <c r="S10"/>
  <c r="D9"/>
  <c r="G9" s="1"/>
  <c r="E9"/>
  <c r="F9"/>
  <c r="R9"/>
  <c r="S9"/>
  <c r="D2"/>
  <c r="G2" s="1"/>
  <c r="D3"/>
  <c r="G3" s="1"/>
  <c r="D4"/>
  <c r="G4" s="1"/>
  <c r="D5"/>
  <c r="G5" s="1"/>
  <c r="D6"/>
  <c r="G6" s="1"/>
  <c r="D7"/>
  <c r="G7" s="1"/>
  <c r="D8"/>
  <c r="G8" s="1"/>
  <c r="E8"/>
  <c r="F8"/>
  <c r="R8"/>
  <c r="S8"/>
  <c r="E7"/>
  <c r="F7"/>
  <c r="R7"/>
  <c r="S7"/>
  <c r="S2"/>
  <c r="S3"/>
  <c r="S4"/>
  <c r="S5"/>
  <c r="S6"/>
  <c r="R2"/>
  <c r="R4"/>
  <c r="R6"/>
  <c r="E6"/>
  <c r="F6"/>
  <c r="E5"/>
  <c r="F5"/>
  <c r="E4"/>
  <c r="F4"/>
  <c r="E2"/>
  <c r="E3"/>
  <c r="F3"/>
  <c r="F2"/>
  <c r="N89" l="1"/>
  <c r="O89" s="1"/>
  <c r="R89" s="1"/>
  <c r="N90"/>
  <c r="N87"/>
  <c r="N88"/>
  <c r="O88" s="1"/>
  <c r="R88" s="1"/>
  <c r="N84"/>
  <c r="O84" s="1"/>
  <c r="R84" s="1"/>
  <c r="N86"/>
  <c r="N85"/>
  <c r="N82"/>
  <c r="N83"/>
  <c r="O83" s="1"/>
  <c r="R83" s="1"/>
  <c r="T80"/>
  <c r="N80"/>
  <c r="O80" s="1"/>
  <c r="R80" s="1"/>
  <c r="N81"/>
  <c r="N77"/>
  <c r="O77" s="1"/>
  <c r="R77" s="1"/>
  <c r="N78"/>
  <c r="O78" s="1"/>
  <c r="R78" s="1"/>
  <c r="N79"/>
  <c r="O79" s="1"/>
  <c r="R79" s="1"/>
  <c r="N74"/>
  <c r="N76"/>
  <c r="N75"/>
  <c r="T37"/>
  <c r="T36"/>
  <c r="T38"/>
  <c r="T39"/>
  <c r="T40"/>
  <c r="T42"/>
  <c r="T41"/>
  <c r="T43"/>
  <c r="N68"/>
  <c r="T44"/>
  <c r="T45"/>
  <c r="T46"/>
  <c r="T47"/>
  <c r="T48"/>
  <c r="T49"/>
  <c r="T50"/>
  <c r="T51"/>
  <c r="T52"/>
  <c r="T53"/>
  <c r="T54"/>
  <c r="T55"/>
  <c r="T57"/>
  <c r="T56"/>
  <c r="T59"/>
  <c r="T58"/>
  <c r="T60"/>
  <c r="T62"/>
  <c r="T61"/>
  <c r="T63"/>
  <c r="T64"/>
  <c r="T65"/>
  <c r="T66"/>
  <c r="T67"/>
  <c r="N73"/>
  <c r="N72"/>
  <c r="O72" s="1"/>
  <c r="R72" s="1"/>
  <c r="N71"/>
  <c r="N70"/>
  <c r="O70" s="1"/>
  <c r="R70" s="1"/>
  <c r="N69"/>
  <c r="N66"/>
  <c r="O66" s="1"/>
  <c r="R66" s="1"/>
  <c r="N67"/>
  <c r="N64"/>
  <c r="N65"/>
  <c r="N61"/>
  <c r="O61" s="1"/>
  <c r="R61" s="1"/>
  <c r="N63"/>
  <c r="O63" s="1"/>
  <c r="R63" s="1"/>
  <c r="N62"/>
  <c r="O62" s="1"/>
  <c r="R62" s="1"/>
  <c r="N58"/>
  <c r="N60"/>
  <c r="O60" s="1"/>
  <c r="R60" s="1"/>
  <c r="N59"/>
  <c r="O59" s="1"/>
  <c r="R59" s="1"/>
  <c r="N55"/>
  <c r="N57"/>
  <c r="O57" s="1"/>
  <c r="R57" s="1"/>
  <c r="N56"/>
  <c r="N42"/>
  <c r="N41"/>
  <c r="N40"/>
  <c r="O40" s="1"/>
  <c r="R40" s="1"/>
  <c r="N39"/>
  <c r="N38"/>
  <c r="N37"/>
  <c r="N36"/>
  <c r="N35"/>
  <c r="O35" s="1"/>
  <c r="R35" s="1"/>
  <c r="N34"/>
  <c r="O34" s="1"/>
  <c r="R34" s="1"/>
  <c r="N33"/>
  <c r="N32"/>
  <c r="O32" s="1"/>
  <c r="R32" s="1"/>
  <c r="N31"/>
  <c r="N30"/>
  <c r="N29"/>
  <c r="N28"/>
  <c r="O28" s="1"/>
  <c r="R28" s="1"/>
  <c r="N27"/>
  <c r="N26"/>
  <c r="O26" s="1"/>
  <c r="R26" s="1"/>
  <c r="N25"/>
  <c r="N24"/>
  <c r="O24" s="1"/>
  <c r="R24" s="1"/>
  <c r="N23"/>
  <c r="O23" s="1"/>
  <c r="R23" s="1"/>
  <c r="N22"/>
  <c r="N21"/>
  <c r="O21" s="1"/>
  <c r="R21" s="1"/>
  <c r="N20"/>
  <c r="N19"/>
  <c r="N18"/>
  <c r="O18" s="1"/>
  <c r="R18" s="1"/>
  <c r="N17"/>
  <c r="N16"/>
  <c r="N15"/>
  <c r="N14"/>
  <c r="N13"/>
  <c r="N12"/>
  <c r="O12" s="1"/>
  <c r="R12" s="1"/>
  <c r="N11"/>
  <c r="N10"/>
  <c r="O10" s="1"/>
  <c r="R10" s="1"/>
  <c r="N9"/>
  <c r="N8"/>
  <c r="N7"/>
  <c r="N6"/>
  <c r="N5"/>
  <c r="O5" s="1"/>
  <c r="R5" s="1"/>
  <c r="N4"/>
  <c r="N3"/>
  <c r="O3" s="1"/>
  <c r="R3" s="1"/>
  <c r="N2"/>
  <c r="N44"/>
  <c r="N45"/>
  <c r="O45" s="1"/>
  <c r="R45" s="1"/>
  <c r="N46"/>
  <c r="O46" s="1"/>
  <c r="R46" s="1"/>
  <c r="N47"/>
  <c r="N48"/>
  <c r="O48" s="1"/>
  <c r="R48" s="1"/>
  <c r="N49"/>
  <c r="N50"/>
  <c r="N51"/>
  <c r="O51" s="1"/>
  <c r="R51" s="1"/>
  <c r="N52"/>
  <c r="N53"/>
  <c r="O53" s="1"/>
  <c r="R53" s="1"/>
  <c r="N54"/>
  <c r="O54" s="1"/>
  <c r="R54" s="1"/>
  <c r="R43"/>
  <c r="S93"/>
  <c r="R16"/>
  <c r="R93" l="1"/>
  <c r="O93"/>
</calcChain>
</file>

<file path=xl/sharedStrings.xml><?xml version="1.0" encoding="utf-8"?>
<sst xmlns="http://schemas.openxmlformats.org/spreadsheetml/2006/main" count="311" uniqueCount="75">
  <si>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</si>
  <si>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</si>
  <si>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</si>
  <si>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</si>
  <si>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</si>
  <si>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</si>
  <si>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</si>
  <si>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</si>
  <si>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</si>
  <si>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</si>
  <si>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</si>
  <si>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</si>
  <si>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</si>
  <si>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</si>
  <si>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</si>
  <si>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</si>
  <si>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</si>
  <si>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</si>
  <si>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</si>
  <si>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</si>
  <si>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</si>
  <si>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</si>
  <si>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</si>
  <si>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</si>
  <si>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</si>
  <si>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Total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</si>
  <si>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</si>
  <si>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</si>
  <si>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</si>
  <si>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</si>
  <si>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</si>
  <si>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</si>
  <si>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</si>
  <si>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</si>
  <si>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</si>
  <si>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</si>
  <si>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</si>
  <si>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</si>
  <si>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</si>
  <si>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</si>
  <si>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</si>
  <si>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</si>
  <si>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</si>
  <si>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GOLL4</t>
  </si>
  <si>
    <t>MRFG3</t>
  </si>
  <si>
    <t>JBSS3</t>
  </si>
  <si>
    <t>GFSA3</t>
  </si>
  <si>
    <t>C/V</t>
  </si>
  <si>
    <t>C</t>
  </si>
  <si>
    <t>V</t>
  </si>
  <si>
    <t>KLBN4</t>
  </si>
  <si>
    <t>RSID3</t>
  </si>
  <si>
    <t>MNDL4</t>
  </si>
  <si>
    <t>AGEN11</t>
  </si>
  <si>
    <t>* Volume Ação</t>
  </si>
  <si>
    <t>Total * Volume Ação</t>
  </si>
  <si>
    <t>* Líquido</t>
  </si>
  <si>
    <t>Total * Líquido</t>
  </si>
  <si>
    <t>* Base IR</t>
  </si>
  <si>
    <t>Total * Base IR</t>
  </si>
  <si>
    <t>INEP4</t>
  </si>
  <si>
    <t>INET3</t>
  </si>
  <si>
    <t>FJTA4</t>
  </si>
  <si>
    <t>BEEF3</t>
  </si>
  <si>
    <t>PETRC24</t>
  </si>
  <si>
    <t>VALEC40</t>
  </si>
  <si>
    <t>PETRD24</t>
  </si>
  <si>
    <t>OGXPC17</t>
  </si>
  <si>
    <t>PETRC25</t>
  </si>
  <si>
    <t>VALEC43</t>
  </si>
  <si>
    <t>VALED43</t>
  </si>
  <si>
    <t>OGXPD17</t>
  </si>
  <si>
    <t>BVMFD12</t>
  </si>
  <si>
    <t>OGXPD16</t>
  </si>
  <si>
    <t>VALED42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</si>
</sst>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4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  <xf numFmtId="0" fontId="3" fillId="0" borderId="0" xfId="2" applyNumberFormat="1" applyFont="1"/>
    <xf numFmtId="164" fontId="3" fillId="0" borderId="0" xfId="0" applyNumberFormat="1" applyFont="1"/>
    <xf numFmtId="0" fontId="3" fillId="0" borderId="0" xfId="1" applyNumberFormat="1" applyFont="1"/>
    <xf numFmtId="44" fontId="3" fillId="0" borderId="0" xfId="2" applyNumberFormat="1" applyFont="1"/>
    <xf numFmtId="165" fontId="3" fillId="0" borderId="0" xfId="1" applyNumberFormat="1" applyFont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1" applyNumberFormat="1" applyFont="1" applyBorder="1"/>
    <xf numFmtId="44" fontId="3" fillId="0" borderId="0" xfId="2" applyNumberFormat="1" applyFont="1" applyBorder="1"/>
    <xf numFmtId="165" fontId="3" fillId="0" borderId="0" xfId="1" applyNumberFormat="1" applyFont="1" applyBorder="1"/>
    <xf numFmtId="44" fontId="3" fillId="0" borderId="0" xfId="0" applyNumberFormat="1" applyFont="1" applyBorder="1"/>
    <xf numFmtId="164" fontId="3" fillId="0" borderId="0" xfId="1" applyNumberFormat="1" applyFont="1" applyBorder="1"/>
    <xf numFmtId="10" fontId="2" fillId="0" borderId="0" xfId="3" applyNumberFormat="1" applyFont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95.792566319447" createdVersion="3" refreshedVersion="3" minRefreshableVersion="3" recordCount="91">
  <cacheSource type="worksheet">
    <worksheetSource name="Tabela1"/>
  </cacheSource>
  <cacheFields count="20">
    <cacheField name="Trade" numFmtId="0">
      <sharedItems containsSemiMixedTypes="0" containsString="0" containsNumber="1" containsInteger="1" minValue="1" maxValue="18"/>
    </cacheField>
    <cacheField name="ID" numFmtId="0">
      <sharedItems/>
    </cacheField>
    <cacheField name="Data" numFmtId="14">
      <sharedItems containsSemiMixedTypes="0" containsNonDate="0" containsDate="1" containsString="0" minDate="2011-11-30T00:00:00" maxDate="2014-01-30T00:00:00"/>
    </cacheField>
    <cacheField name="Data Liquidação" numFmtId="14">
      <sharedItems containsSemiMixedTypes="0" containsNonDate="0" containsDate="1" containsString="0" minDate="2011-12-05T00:00:00" maxDate="2014-02-0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8">
        <n v="1"/>
        <n v="9"/>
        <n v="10"/>
        <n v="11"/>
        <n v="12"/>
        <n v="2"/>
        <n v="3"/>
        <n v="4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/>
        <n v="2012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40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GOLL4"/>
        <s v="MRFG3"/>
        <s v="JBSS3"/>
        <s v="GFSA3"/>
        <s v="KLBN4"/>
        <s v="RSID3"/>
        <s v="MNDL4"/>
        <s v="AGEN11"/>
        <s v="INEP4"/>
        <s v="INET3"/>
        <s v="FJTA4"/>
        <s v="BEEF3"/>
        <s v="PETRC24"/>
        <s v="VALEC40"/>
        <s v="PETRD24"/>
        <s v="OGXPC17"/>
        <s v="VALEC43"/>
        <s v="PETRC25"/>
        <s v="VALED43"/>
        <s v="OGXPD17"/>
        <s v="BVMFD12"/>
        <s v="OGXPD16"/>
        <s v="VALED42"/>
        <m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3000" maxValue="3700"/>
    </cacheField>
    <cacheField name="Líquido" numFmtId="44">
      <sharedItems containsSemiMixedTypes="0" containsString="0" containsNumber="1" minValue="-2845.43" maxValue="2695.57"/>
    </cacheField>
    <cacheField name="PM Operação" numFmtId="164">
      <sharedItems containsSemiMixedTypes="0" containsString="0" containsNumber="1" minValue="0" maxValue="15.8368"/>
    </cacheField>
    <cacheField name="PM Papel" numFmtId="165">
      <sharedItems containsSemiMixedTypes="0" containsString="0" containsNumber="1" minValue="0" maxValue="13.782299999999999"/>
    </cacheField>
    <cacheField name="Resultado" numFmtId="44">
      <sharedItems containsSemiMixedTypes="0" containsString="0" containsNumber="1" minValue="-553.02785714285721" maxValue="662.77"/>
    </cacheField>
    <cacheField name="IRFF" numFmtId="44">
      <sharedItems containsString="0" containsBlank="1" containsNumber="1" minValue="1.9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553.02785714285721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minValue="0" maxValue="5131.140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"/>
    <s v="PETRA20_1"/>
    <d v="2013-01-15T00:00:00"/>
    <d v="2013-01-16T00:00:00"/>
    <n v="16"/>
    <x v="0"/>
    <x v="0"/>
    <x v="0"/>
    <x v="0"/>
    <s v="C"/>
    <n v="200"/>
    <n v="-60.64"/>
    <n v="0.30320000000000003"/>
    <n v="0"/>
    <n v="0"/>
    <m/>
    <m/>
    <n v="0"/>
    <x v="0"/>
    <n v="0"/>
  </r>
  <r>
    <n v="1"/>
    <s v="PETRA20_1"/>
    <d v="2013-01-20T00:00:00"/>
    <d v="2013-01-21T00:00:00"/>
    <n v="21"/>
    <x v="0"/>
    <x v="0"/>
    <x v="0"/>
    <x v="0"/>
    <s v="C"/>
    <n v="-200"/>
    <n v="9.43"/>
    <n v="4.7149999999999997E-2"/>
    <n v="0.30320000000000003"/>
    <n v="-51.21"/>
    <m/>
    <m/>
    <n v="-51.21"/>
    <x v="0"/>
    <n v="0"/>
  </r>
  <r>
    <n v="2"/>
    <s v="VALEI34_2"/>
    <d v="2013-09-09T00:00:00"/>
    <d v="2013-09-10T00:00:00"/>
    <n v="10"/>
    <x v="1"/>
    <x v="0"/>
    <x v="0"/>
    <x v="1"/>
    <s v="C"/>
    <n v="1200"/>
    <n v="-417.17"/>
    <n v="0.34764166666666668"/>
    <n v="0"/>
    <n v="0"/>
    <m/>
    <m/>
    <n v="0"/>
    <x v="0"/>
    <n v="0"/>
  </r>
  <r>
    <n v="2"/>
    <s v="VALEI34_2"/>
    <d v="2013-09-10T00:00:00"/>
    <d v="2013-09-11T00:00:00"/>
    <n v="11"/>
    <x v="1"/>
    <x v="0"/>
    <x v="0"/>
    <x v="1"/>
    <s v="C"/>
    <n v="-1200"/>
    <n v="840.62"/>
    <n v="0.70051666666666668"/>
    <n v="0.34764166666666668"/>
    <n v="423.45"/>
    <m/>
    <m/>
    <n v="423.45"/>
    <x v="0"/>
    <n v="0"/>
  </r>
  <r>
    <n v="3"/>
    <s v="PETRI18_3"/>
    <d v="2013-09-15T00:00:00"/>
    <d v="2013-09-16T00:00:00"/>
    <n v="16"/>
    <x v="1"/>
    <x v="0"/>
    <x v="0"/>
    <x v="2"/>
    <s v="C"/>
    <n v="0"/>
    <n v="-179.74"/>
    <n v="0"/>
    <n v="0"/>
    <n v="-179.74"/>
    <m/>
    <n v="3.48"/>
    <n v="-176.26000000000002"/>
    <x v="1"/>
    <n v="0"/>
  </r>
  <r>
    <n v="4"/>
    <s v="VALEJ31_4"/>
    <d v="2013-10-14T00:00:00"/>
    <d v="2013-10-15T00:00:00"/>
    <n v="15"/>
    <x v="2"/>
    <x v="0"/>
    <x v="0"/>
    <x v="3"/>
    <s v="C"/>
    <n v="0"/>
    <n v="662.77"/>
    <n v="0"/>
    <n v="0"/>
    <n v="662.77"/>
    <n v="6.7"/>
    <n v="1.1599999999999999"/>
    <n v="670.63"/>
    <x v="1"/>
    <n v="0"/>
  </r>
  <r>
    <n v="5"/>
    <s v="VALEJ33_5"/>
    <d v="2013-10-15T00:00:00"/>
    <d v="2013-10-16T00:00:00"/>
    <n v="16"/>
    <x v="2"/>
    <x v="0"/>
    <x v="0"/>
    <x v="4"/>
    <s v="C"/>
    <n v="0"/>
    <n v="-200.22"/>
    <n v="0"/>
    <n v="0"/>
    <n v="-200.22"/>
    <m/>
    <n v="1.1599999999999999"/>
    <n v="-199.06"/>
    <x v="1"/>
    <n v="0"/>
  </r>
  <r>
    <n v="6"/>
    <s v="VALEJ32_6"/>
    <d v="2013-10-16T00:00:00"/>
    <d v="2013-10-17T00:00:00"/>
    <n v="17"/>
    <x v="2"/>
    <x v="0"/>
    <x v="0"/>
    <x v="5"/>
    <s v="C"/>
    <n v="900"/>
    <n v="-583.51"/>
    <n v="0.64834444444444439"/>
    <n v="0"/>
    <n v="0"/>
    <m/>
    <m/>
    <n v="0"/>
    <x v="0"/>
    <n v="0"/>
  </r>
  <r>
    <n v="6"/>
    <s v="VALEJ32_6"/>
    <d v="2013-10-18T00:00:00"/>
    <d v="2013-10-21T00:00:00"/>
    <n v="21"/>
    <x v="2"/>
    <x v="0"/>
    <x v="0"/>
    <x v="5"/>
    <s v="C"/>
    <n v="-900"/>
    <n v="676.31"/>
    <n v="0.75145555555555554"/>
    <n v="0.64834444444444439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436.36"/>
    <m/>
    <m/>
    <n v="-436.36"/>
    <x v="0"/>
    <n v="0"/>
  </r>
  <r>
    <n v="1"/>
    <s v="AELP3_1"/>
    <d v="2013-12-30T00:00:00"/>
    <d v="2014-01-02T00:00:00"/>
    <n v="2"/>
    <x v="0"/>
    <x v="1"/>
    <x v="1"/>
    <x v="14"/>
    <s v="C"/>
    <n v="100"/>
    <n v="-940.06"/>
    <n v="9.400599999999999"/>
    <n v="0"/>
    <n v="0"/>
    <m/>
    <m/>
    <n v="0"/>
    <x v="0"/>
    <n v="0"/>
  </r>
  <r>
    <n v="1"/>
    <s v="UNIP6_1"/>
    <d v="2014-01-29T00:00:00"/>
    <d v="2014-02-03T00:00:00"/>
    <n v="3"/>
    <x v="5"/>
    <x v="1"/>
    <x v="1"/>
    <x v="15"/>
    <s v="C"/>
    <n v="600"/>
    <n v="-315.86"/>
    <n v="0.52643333333333331"/>
    <n v="0"/>
    <n v="0"/>
    <m/>
    <m/>
    <n v="0"/>
    <x v="0"/>
    <n v="0"/>
  </r>
  <r>
    <n v="1"/>
    <s v="GOLL4_1"/>
    <d v="2011-11-30T00:00:00"/>
    <d v="2011-12-05T00:00:00"/>
    <n v="5"/>
    <x v="4"/>
    <x v="2"/>
    <x v="1"/>
    <x v="16"/>
    <s v="C"/>
    <n v="100"/>
    <n v="-1378.23"/>
    <n v="13.782299999999999"/>
    <n v="0"/>
    <n v="0"/>
    <m/>
    <m/>
    <n v="0"/>
    <x v="0"/>
    <n v="3095.6400000000003"/>
  </r>
  <r>
    <n v="1"/>
    <s v="MRFG3_1"/>
    <d v="2011-12-06T00:00:00"/>
    <d v="2011-12-09T00:00:00"/>
    <n v="9"/>
    <x v="4"/>
    <x v="2"/>
    <x v="1"/>
    <x v="17"/>
    <s v="C"/>
    <n v="100"/>
    <n v="-861.05"/>
    <n v="8.6105"/>
    <n v="0"/>
    <n v="0"/>
    <m/>
    <m/>
    <n v="0"/>
    <x v="0"/>
    <n v="3095.6400000000003"/>
  </r>
  <r>
    <n v="1"/>
    <s v="GOLL4_1"/>
    <d v="2011-12-07T00:00:00"/>
    <d v="2011-12-12T00:00:00"/>
    <n v="12"/>
    <x v="4"/>
    <x v="2"/>
    <x v="1"/>
    <x v="16"/>
    <s v="C"/>
    <n v="-100"/>
    <n v="1583.68"/>
    <n v="15.8368"/>
    <n v="13.782299999999999"/>
    <n v="205.4500000000001"/>
    <m/>
    <m/>
    <n v="205.4500000000001"/>
    <x v="0"/>
    <n v="3095.6400000000003"/>
  </r>
  <r>
    <n v="1"/>
    <s v="JBSS3_1"/>
    <d v="2011-12-13T00:00:00"/>
    <d v="2011-12-16T00:00:00"/>
    <n v="16"/>
    <x v="4"/>
    <x v="2"/>
    <x v="1"/>
    <x v="18"/>
    <s v="C"/>
    <n v="200"/>
    <n v="-1146.17"/>
    <n v="5.7308500000000002"/>
    <n v="0"/>
    <n v="0"/>
    <m/>
    <m/>
    <n v="0"/>
    <x v="0"/>
    <n v="3095.6400000000003"/>
  </r>
  <r>
    <n v="1"/>
    <s v="JBSS3_1"/>
    <d v="2011-12-13T00:00:00"/>
    <d v="2011-12-16T00:00:00"/>
    <n v="16"/>
    <x v="4"/>
    <x v="2"/>
    <x v="1"/>
    <x v="18"/>
    <s v="C"/>
    <n v="0"/>
    <n v="-36.1"/>
    <n v="0"/>
    <n v="0"/>
    <n v="-36.1"/>
    <m/>
    <n v="1.1599999999999999"/>
    <n v="-34.940000000000005"/>
    <x v="1"/>
    <n v="3095.6400000000003"/>
  </r>
  <r>
    <n v="1"/>
    <s v="GFSA3_1"/>
    <d v="2011-12-20T00:00:00"/>
    <d v="2011-12-23T00:00:00"/>
    <n v="23"/>
    <x v="4"/>
    <x v="2"/>
    <x v="1"/>
    <x v="19"/>
    <s v="V"/>
    <n v="-200"/>
    <n v="837.95"/>
    <n v="4.1897500000000001"/>
    <n v="0"/>
    <n v="0"/>
    <m/>
    <m/>
    <n v="0"/>
    <x v="0"/>
    <n v="3095.6400000000003"/>
  </r>
  <r>
    <n v="1"/>
    <s v="KLBN4_1"/>
    <d v="2011-12-23T00:00:00"/>
    <d v="2011-12-28T00:00:00"/>
    <n v="28"/>
    <x v="4"/>
    <x v="2"/>
    <x v="1"/>
    <x v="20"/>
    <s v="C"/>
    <n v="300"/>
    <n v="-2374.5700000000002"/>
    <n v="7.915233333333334"/>
    <n v="0"/>
    <n v="0"/>
    <m/>
    <m/>
    <n v="0"/>
    <x v="0"/>
    <n v="3095.6400000000003"/>
  </r>
  <r>
    <n v="1"/>
    <s v="JBSS3_1"/>
    <d v="2011-12-26T00:00:00"/>
    <d v="2011-12-29T00:00:00"/>
    <n v="29"/>
    <x v="4"/>
    <x v="2"/>
    <x v="1"/>
    <x v="18"/>
    <s v="C"/>
    <n v="-100"/>
    <n v="674.01"/>
    <n v="6.7401"/>
    <n v="5.7308500000000002"/>
    <n v="100.92499999999998"/>
    <m/>
    <m/>
    <n v="100.92499999999998"/>
    <x v="0"/>
    <n v="3095.6400000000003"/>
  </r>
  <r>
    <n v="1"/>
    <s v="JBSS3_1"/>
    <d v="2012-01-02T00:00:00"/>
    <d v="2012-01-05T00:00:00"/>
    <n v="5"/>
    <x v="0"/>
    <x v="3"/>
    <x v="1"/>
    <x v="18"/>
    <s v="C"/>
    <n v="-100"/>
    <n v="567.03"/>
    <n v="5.6703000000000001"/>
    <n v="5.7308500000000002"/>
    <n v="-6.0550000000000104"/>
    <m/>
    <m/>
    <n v="-6.0550000000000104"/>
    <x v="0"/>
    <n v="5131.1400000000003"/>
  </r>
  <r>
    <n v="2"/>
    <s v="JBSS3_2"/>
    <d v="2012-01-03T00:00:00"/>
    <d v="2012-01-06T00:00:00"/>
    <n v="6"/>
    <x v="0"/>
    <x v="3"/>
    <x v="1"/>
    <x v="18"/>
    <s v="C"/>
    <n v="200"/>
    <n v="-1176.1600000000001"/>
    <n v="5.8808000000000007"/>
    <n v="0"/>
    <n v="0"/>
    <m/>
    <m/>
    <n v="0"/>
    <x v="0"/>
    <n v="5131.1400000000003"/>
  </r>
  <r>
    <n v="2"/>
    <s v="JBSS3_2"/>
    <d v="2012-01-12T00:00:00"/>
    <d v="2012-01-17T00:00:00"/>
    <n v="17"/>
    <x v="0"/>
    <x v="3"/>
    <x v="1"/>
    <x v="18"/>
    <s v="C"/>
    <n v="-200"/>
    <n v="1095.57"/>
    <n v="5.4778500000000001"/>
    <n v="5.8808000000000007"/>
    <n v="-80.590000000000117"/>
    <m/>
    <m/>
    <n v="-80.590000000000117"/>
    <x v="0"/>
    <n v="5131.1400000000003"/>
  </r>
  <r>
    <n v="1"/>
    <s v="RSID3_1"/>
    <d v="2012-01-12T00:00:00"/>
    <d v="2012-01-17T00:00:00"/>
    <n v="17"/>
    <x v="0"/>
    <x v="3"/>
    <x v="1"/>
    <x v="21"/>
    <s v="V"/>
    <n v="-300"/>
    <n v="2695.57"/>
    <n v="8.9852333333333334"/>
    <n v="0"/>
    <n v="0"/>
    <m/>
    <m/>
    <n v="0"/>
    <x v="0"/>
    <n v="5131.1400000000003"/>
  </r>
  <r>
    <n v="1"/>
    <s v="MNDL4_1"/>
    <d v="2012-01-19T00:00:00"/>
    <d v="2012-01-24T00:00:00"/>
    <n v="24"/>
    <x v="0"/>
    <x v="3"/>
    <x v="1"/>
    <x v="22"/>
    <s v="C"/>
    <n v="2000"/>
    <n v="-1016.11"/>
    <n v="0.50805500000000003"/>
    <n v="0"/>
    <n v="0"/>
    <m/>
    <m/>
    <n v="0"/>
    <x v="0"/>
    <n v="5131.1400000000003"/>
  </r>
  <r>
    <n v="1"/>
    <s v="MRFG3_1"/>
    <d v="2012-01-24T00:00:00"/>
    <d v="2012-01-27T00:00:00"/>
    <n v="27"/>
    <x v="0"/>
    <x v="3"/>
    <x v="1"/>
    <x v="17"/>
    <s v="C"/>
    <n v="-100"/>
    <n v="772.97"/>
    <n v="7.7297000000000002"/>
    <n v="8.6105"/>
    <n v="-88.079999999999984"/>
    <m/>
    <m/>
    <n v="-88.079999999999984"/>
    <x v="0"/>
    <n v="5131.1400000000003"/>
  </r>
  <r>
    <n v="1"/>
    <s v="AGEN11_1"/>
    <d v="2012-01-26T00:00:00"/>
    <d v="2012-01-31T00:00:00"/>
    <n v="31"/>
    <x v="0"/>
    <x v="3"/>
    <x v="1"/>
    <x v="23"/>
    <s v="C"/>
    <n v="2300"/>
    <n v="-1005.42"/>
    <n v="0.43713913043478259"/>
    <n v="0"/>
    <n v="0"/>
    <m/>
    <m/>
    <n v="0"/>
    <x v="0"/>
    <n v="5131.1400000000003"/>
  </r>
  <r>
    <n v="1"/>
    <s v="RSID3_1"/>
    <d v="2012-01-26T00:00:00"/>
    <d v="2012-01-31T00:00:00"/>
    <n v="31"/>
    <x v="0"/>
    <x v="3"/>
    <x v="1"/>
    <x v="21"/>
    <s v="V"/>
    <n v="300"/>
    <n v="-2845.43"/>
    <n v="9.4847666666666655"/>
    <n v="8.9852333333333334"/>
    <n v="-149.85999999999962"/>
    <m/>
    <m/>
    <n v="-149.85999999999962"/>
    <x v="0"/>
    <n v="5131.1400000000003"/>
  </r>
  <r>
    <n v="1"/>
    <s v="GFSA3_1"/>
    <d v="2012-01-31T00:00:00"/>
    <d v="2012-02-03T00:00:00"/>
    <n v="3"/>
    <x v="5"/>
    <x v="3"/>
    <x v="1"/>
    <x v="19"/>
    <s v="V"/>
    <n v="200"/>
    <n v="-968.09"/>
    <n v="4.8404500000000006"/>
    <n v="4.1897500000000001"/>
    <n v="-130.1400000000001"/>
    <m/>
    <m/>
    <n v="-130.1400000000001"/>
    <x v="0"/>
    <n v="3053.85"/>
  </r>
  <r>
    <n v="1"/>
    <s v="AGEN11_1"/>
    <d v="2012-02-06T00:00:00"/>
    <d v="2012-02-09T00:00:00"/>
    <n v="9"/>
    <x v="5"/>
    <x v="3"/>
    <x v="1"/>
    <x v="23"/>
    <s v="C"/>
    <n v="3700"/>
    <n v="-1385.33"/>
    <n v="0.37441351351351349"/>
    <n v="0.43713913043478259"/>
    <n v="0"/>
    <m/>
    <m/>
    <n v="0"/>
    <x v="0"/>
    <n v="3053.85"/>
  </r>
  <r>
    <n v="1"/>
    <s v="INEP4_1"/>
    <d v="2012-02-06T00:00:00"/>
    <d v="2012-02-09T00:00:00"/>
    <n v="9"/>
    <x v="5"/>
    <x v="3"/>
    <x v="1"/>
    <x v="24"/>
    <s v="C"/>
    <n v="500"/>
    <n v="-1201.33"/>
    <n v="2.40266"/>
    <n v="0"/>
    <n v="0"/>
    <m/>
    <m/>
    <n v="0"/>
    <x v="0"/>
    <n v="3053.85"/>
  </r>
  <r>
    <n v="1"/>
    <s v="KLBN4_1"/>
    <d v="2012-02-06T00:00:00"/>
    <d v="2012-02-09T00:00:00"/>
    <n v="9"/>
    <x v="5"/>
    <x v="3"/>
    <x v="1"/>
    <x v="20"/>
    <s v="C"/>
    <n v="-300"/>
    <n v="2293.66"/>
    <n v="7.6455333333333328"/>
    <n v="7.915233333333334"/>
    <n v="-80.910000000000352"/>
    <m/>
    <m/>
    <n v="-80.910000000000352"/>
    <x v="0"/>
    <n v="3053.85"/>
  </r>
  <r>
    <n v="1"/>
    <s v="INET3_1"/>
    <d v="2012-02-09T00:00:00"/>
    <d v="2012-02-14T00:00:00"/>
    <n v="14"/>
    <x v="5"/>
    <x v="3"/>
    <x v="1"/>
    <x v="25"/>
    <s v="C"/>
    <n v="3000"/>
    <n v="-615.98"/>
    <n v="0.20532666666666669"/>
    <n v="0"/>
    <n v="0"/>
    <m/>
    <m/>
    <n v="0"/>
    <x v="0"/>
    <n v="3053.85"/>
  </r>
  <r>
    <n v="1"/>
    <s v="MNDL4_1"/>
    <d v="2012-02-09T00:00:00"/>
    <d v="2012-02-14T00:00:00"/>
    <n v="14"/>
    <x v="5"/>
    <x v="3"/>
    <x v="1"/>
    <x v="22"/>
    <s v="C"/>
    <n v="-1600"/>
    <n v="624.01"/>
    <n v="0.39000625"/>
    <n v="0.50805500000000003"/>
    <n v="-188.87800000000004"/>
    <m/>
    <m/>
    <n v="-188.87800000000004"/>
    <x v="0"/>
    <n v="3053.85"/>
  </r>
  <r>
    <n v="1"/>
    <s v="MNDL4_1"/>
    <d v="2012-02-23T00:00:00"/>
    <d v="2012-02-28T00:00:00"/>
    <n v="28"/>
    <x v="5"/>
    <x v="3"/>
    <x v="1"/>
    <x v="22"/>
    <s v="C"/>
    <n v="-400"/>
    <n v="136.18"/>
    <n v="0.34045000000000003"/>
    <n v="0.50805500000000003"/>
    <n v="-67.042000000000002"/>
    <m/>
    <m/>
    <n v="-67.042000000000002"/>
    <x v="0"/>
    <n v="3053.85"/>
  </r>
  <r>
    <n v="1"/>
    <s v="AGEN11_1"/>
    <d v="2012-02-28T00:00:00"/>
    <d v="2012-03-02T00:00:00"/>
    <n v="2"/>
    <x v="6"/>
    <x v="3"/>
    <x v="1"/>
    <x v="23"/>
    <s v="C"/>
    <n v="-3000"/>
    <n v="794"/>
    <n v="0.26466666666666666"/>
    <n v="0.39845833333333336"/>
    <n v="-401.37500000000011"/>
    <m/>
    <m/>
    <n v="-401.37500000000011"/>
    <x v="0"/>
    <n v="4283.66"/>
  </r>
  <r>
    <n v="1"/>
    <s v="INET3_1"/>
    <d v="2012-02-28T00:00:00"/>
    <d v="2012-03-02T00:00:00"/>
    <n v="2"/>
    <x v="6"/>
    <x v="3"/>
    <x v="1"/>
    <x v="25"/>
    <s v="C"/>
    <n v="-3000"/>
    <n v="494"/>
    <n v="0.16466666666666666"/>
    <n v="0.20532666666666669"/>
    <n v="-121.98000000000009"/>
    <m/>
    <m/>
    <n v="-121.98000000000009"/>
    <x v="0"/>
    <n v="4283.66"/>
  </r>
  <r>
    <n v="1"/>
    <s v="AGEN11_1"/>
    <d v="2012-02-29T00:00:00"/>
    <d v="2012-03-05T00:00:00"/>
    <n v="5"/>
    <x v="6"/>
    <x v="3"/>
    <x v="1"/>
    <x v="23"/>
    <s v="C"/>
    <n v="-3000"/>
    <n v="733.98"/>
    <n v="0.24466000000000002"/>
    <n v="0.39845833333333336"/>
    <n v="-461.39500000000004"/>
    <m/>
    <m/>
    <n v="-461.39500000000004"/>
    <x v="0"/>
    <n v="4283.66"/>
  </r>
  <r>
    <n v="1"/>
    <s v="FJTA4_1"/>
    <d v="2012-03-02T00:00:00"/>
    <d v="2012-03-07T00:00:00"/>
    <n v="7"/>
    <x v="6"/>
    <x v="3"/>
    <x v="1"/>
    <x v="26"/>
    <s v="C"/>
    <n v="500"/>
    <n v="-1076.1300000000001"/>
    <n v="2.1522600000000001"/>
    <n v="0"/>
    <n v="0"/>
    <m/>
    <m/>
    <n v="0"/>
    <x v="0"/>
    <n v="4283.66"/>
  </r>
  <r>
    <n v="2"/>
    <s v="GFSA3_2"/>
    <d v="2012-03-02T00:00:00"/>
    <d v="2012-03-07T00:00:00"/>
    <n v="7"/>
    <x v="6"/>
    <x v="3"/>
    <x v="1"/>
    <x v="19"/>
    <s v="C"/>
    <n v="200"/>
    <n v="-1006.12"/>
    <n v="5.0305999999999997"/>
    <n v="0"/>
    <n v="0"/>
    <m/>
    <m/>
    <n v="0"/>
    <x v="0"/>
    <n v="4283.66"/>
  </r>
  <r>
    <n v="1"/>
    <s v="FJTA4_1"/>
    <d v="2012-03-06T00:00:00"/>
    <d v="2012-03-09T00:00:00"/>
    <n v="9"/>
    <x v="6"/>
    <x v="3"/>
    <x v="1"/>
    <x v="26"/>
    <s v="C"/>
    <n v="-500"/>
    <n v="1003.88"/>
    <n v="2.0077600000000002"/>
    <n v="2.1522600000000001"/>
    <n v="-72.249999999999929"/>
    <m/>
    <m/>
    <n v="-72.249999999999929"/>
    <x v="0"/>
    <n v="4283.66"/>
  </r>
  <r>
    <n v="1"/>
    <s v="BEEF3_1"/>
    <d v="2012-03-08T00:00:00"/>
    <d v="2012-03-13T00:00:00"/>
    <n v="13"/>
    <x v="6"/>
    <x v="3"/>
    <x v="1"/>
    <x v="27"/>
    <s v="V"/>
    <n v="-200"/>
    <n v="1257.8"/>
    <n v="6.2889999999999997"/>
    <n v="0"/>
    <n v="0"/>
    <m/>
    <m/>
    <n v="0"/>
    <x v="0"/>
    <n v="4283.66"/>
  </r>
  <r>
    <n v="1"/>
    <s v="PETRC24_1"/>
    <d v="2012-03-12T00:00:00"/>
    <d v="2012-03-13T00:00:00"/>
    <n v="13"/>
    <x v="6"/>
    <x v="3"/>
    <x v="0"/>
    <x v="28"/>
    <s v="C"/>
    <n v="600"/>
    <n v="-183.99"/>
    <n v="0.30665000000000003"/>
    <n v="0"/>
    <n v="0"/>
    <m/>
    <m/>
    <n v="0"/>
    <x v="0"/>
    <n v="0"/>
  </r>
  <r>
    <n v="1"/>
    <s v="VALEC40_1"/>
    <d v="2012-03-12T00:00:00"/>
    <d v="2012-03-13T00:00:00"/>
    <n v="13"/>
    <x v="6"/>
    <x v="3"/>
    <x v="0"/>
    <x v="29"/>
    <s v="C"/>
    <n v="400"/>
    <n v="-175.99"/>
    <n v="0.439975"/>
    <n v="0"/>
    <n v="0"/>
    <m/>
    <m/>
    <n v="0"/>
    <x v="0"/>
    <n v="0"/>
  </r>
  <r>
    <n v="1"/>
    <s v="PETRC24_1"/>
    <d v="2012-03-13T00:00:00"/>
    <d v="2012-03-14T00:00:00"/>
    <n v="14"/>
    <x v="6"/>
    <x v="3"/>
    <x v="0"/>
    <x v="28"/>
    <s v="C"/>
    <n v="-600"/>
    <n v="319.83999999999997"/>
    <n v="0.53306666666666658"/>
    <n v="0.30665000000000003"/>
    <n v="135.84999999999994"/>
    <m/>
    <m/>
    <n v="135.84999999999994"/>
    <x v="0"/>
    <n v="0"/>
  </r>
  <r>
    <n v="1"/>
    <s v="PETRD24_1"/>
    <d v="2012-03-13T00:00:00"/>
    <d v="2012-03-14T00:00:00"/>
    <n v="14"/>
    <x v="6"/>
    <x v="3"/>
    <x v="0"/>
    <x v="30"/>
    <s v="C"/>
    <n v="200"/>
    <n v="-176.15"/>
    <n v="0.88075000000000003"/>
    <n v="0"/>
    <n v="0"/>
    <m/>
    <m/>
    <n v="0"/>
    <x v="0"/>
    <n v="0"/>
  </r>
  <r>
    <n v="1"/>
    <s v="VALEC40_1"/>
    <d v="2012-03-13T00:00:00"/>
    <d v="2012-03-14T00:00:00"/>
    <n v="14"/>
    <x v="6"/>
    <x v="3"/>
    <x v="0"/>
    <x v="29"/>
    <s v="C"/>
    <n v="-400"/>
    <n v="303.83999999999997"/>
    <n v="0.75959999999999994"/>
    <n v="0.439975"/>
    <n v="127.84999999999998"/>
    <m/>
    <m/>
    <n v="127.84999999999998"/>
    <x v="0"/>
    <n v="0"/>
  </r>
  <r>
    <n v="1"/>
    <s v="OGXPC17_1"/>
    <d v="2012-03-13T00:00:00"/>
    <d v="2012-03-14T00:00:00"/>
    <n v="14"/>
    <x v="6"/>
    <x v="3"/>
    <x v="0"/>
    <x v="31"/>
    <s v="C"/>
    <n v="0"/>
    <n v="194.18"/>
    <n v="0"/>
    <n v="0"/>
    <n v="194.18"/>
    <n v="1.97"/>
    <n v="1.1599999999999999"/>
    <n v="197.31"/>
    <x v="1"/>
    <n v="0"/>
  </r>
  <r>
    <n v="1"/>
    <s v="VALEC43_1"/>
    <d v="2012-03-14T00:00:00"/>
    <d v="2012-03-15T00:00:00"/>
    <n v="15"/>
    <x v="6"/>
    <x v="3"/>
    <x v="0"/>
    <x v="32"/>
    <s v="C"/>
    <n v="800"/>
    <n v="-328.19"/>
    <n v="0.41023749999999998"/>
    <n v="0"/>
    <n v="0"/>
    <m/>
    <m/>
    <n v="0"/>
    <x v="0"/>
    <n v="0"/>
  </r>
  <r>
    <n v="1"/>
    <s v="PETRC25_1"/>
    <d v="2012-03-14T00:00:00"/>
    <d v="2012-03-15T00:00:00"/>
    <n v="15"/>
    <x v="6"/>
    <x v="3"/>
    <x v="0"/>
    <x v="33"/>
    <s v="C"/>
    <n v="0"/>
    <n v="277.23"/>
    <n v="0"/>
    <n v="0"/>
    <n v="277.23"/>
    <n v="2.81"/>
    <n v="1.1599999999999999"/>
    <n v="281.20000000000005"/>
    <x v="1"/>
    <n v="0"/>
  </r>
  <r>
    <n v="1"/>
    <s v="VALED43_1"/>
    <d v="2012-03-15T00:00:00"/>
    <d v="2012-03-16T00:00:00"/>
    <n v="16"/>
    <x v="6"/>
    <x v="3"/>
    <x v="0"/>
    <x v="34"/>
    <s v="C"/>
    <n v="500"/>
    <n v="-376.24"/>
    <n v="0.75248000000000004"/>
    <n v="0"/>
    <n v="0"/>
    <m/>
    <m/>
    <n v="0"/>
    <x v="0"/>
    <n v="0"/>
  </r>
  <r>
    <n v="1"/>
    <s v="PETRD24_1"/>
    <d v="2012-03-16T00:00:00"/>
    <d v="2012-03-19T00:00:00"/>
    <n v="19"/>
    <x v="6"/>
    <x v="3"/>
    <x v="0"/>
    <x v="30"/>
    <s v="C"/>
    <n v="-100"/>
    <n v="89.97"/>
    <n v="0.89969999999999994"/>
    <n v="0.88075000000000003"/>
    <n v="1.8949999999999911"/>
    <m/>
    <m/>
    <n v="1.8949999999999911"/>
    <x v="0"/>
    <n v="0"/>
  </r>
  <r>
    <n v="1"/>
    <s v="VALEC43_1"/>
    <d v="2012-03-16T00:00:00"/>
    <d v="2012-03-19T00:00:00"/>
    <n v="19"/>
    <x v="6"/>
    <x v="3"/>
    <x v="0"/>
    <x v="32"/>
    <s v="C"/>
    <n v="-800"/>
    <n v="151.96"/>
    <n v="0.18995000000000001"/>
    <n v="0.41023749999999998"/>
    <n v="-176.22999999999996"/>
    <m/>
    <m/>
    <n v="-176.22999999999996"/>
    <x v="0"/>
    <n v="0"/>
  </r>
  <r>
    <n v="1"/>
    <s v="VALED43_1"/>
    <d v="2012-03-16T00:00:00"/>
    <d v="2012-03-19T00:00:00"/>
    <n v="19"/>
    <x v="6"/>
    <x v="3"/>
    <x v="0"/>
    <x v="34"/>
    <s v="C"/>
    <n v="-500"/>
    <n v="303.95999999999998"/>
    <n v="0.6079199999999999"/>
    <n v="0.75248000000000004"/>
    <n v="-72.280000000000072"/>
    <m/>
    <m/>
    <n v="-72.280000000000072"/>
    <x v="0"/>
    <n v="0"/>
  </r>
  <r>
    <n v="1"/>
    <s v="BEEF3_1"/>
    <d v="2012-03-21T00:00:00"/>
    <d v="2012-03-26T00:00:00"/>
    <n v="26"/>
    <x v="6"/>
    <x v="3"/>
    <x v="1"/>
    <x v="27"/>
    <s v="V"/>
    <n v="200"/>
    <n v="-1406.24"/>
    <n v="7.0312000000000001"/>
    <n v="6.2889999999999997"/>
    <n v="-148.44000000000008"/>
    <m/>
    <m/>
    <n v="-148.44000000000008"/>
    <x v="0"/>
    <n v="4283.66"/>
  </r>
  <r>
    <n v="1"/>
    <s v="OGXPD17_1"/>
    <d v="2012-03-22T00:00:00"/>
    <d v="2012-03-23T00:00:00"/>
    <n v="23"/>
    <x v="6"/>
    <x v="3"/>
    <x v="0"/>
    <x v="35"/>
    <s v="C"/>
    <n v="700"/>
    <n v="-436.32"/>
    <n v="0.62331428571428571"/>
    <n v="0"/>
    <n v="0"/>
    <m/>
    <m/>
    <n v="0"/>
    <x v="0"/>
    <n v="0"/>
  </r>
  <r>
    <n v="1"/>
    <s v="BVMFD12_1"/>
    <d v="2012-03-23T00:00:00"/>
    <d v="2012-03-26T00:00:00"/>
    <n v="26"/>
    <x v="6"/>
    <x v="3"/>
    <x v="0"/>
    <x v="36"/>
    <s v="C"/>
    <n v="1700"/>
    <n v="-458.35"/>
    <n v="0.26961764705882352"/>
    <n v="0"/>
    <n v="0"/>
    <m/>
    <m/>
    <n v="0"/>
    <x v="0"/>
    <n v="0"/>
  </r>
  <r>
    <n v="1"/>
    <s v="OGXPD17_1"/>
    <d v="2012-03-26T00:00:00"/>
    <d v="2012-03-27T00:00:00"/>
    <n v="27"/>
    <x v="6"/>
    <x v="3"/>
    <x v="0"/>
    <x v="35"/>
    <s v="C"/>
    <n v="-700"/>
    <n v="103.08"/>
    <n v="0.14725714285714286"/>
    <n v="0.62331428571428571"/>
    <n v="-333.24"/>
    <m/>
    <m/>
    <n v="-333.24"/>
    <x v="0"/>
    <n v="0"/>
  </r>
  <r>
    <n v="1"/>
    <s v="BVMFD12_1"/>
    <d v="2012-03-29T00:00:00"/>
    <d v="2012-03-30T00:00:00"/>
    <n v="30"/>
    <x v="6"/>
    <x v="3"/>
    <x v="0"/>
    <x v="36"/>
    <s v="C"/>
    <n v="-1700"/>
    <n v="119.84"/>
    <n v="7.0494117647058832E-2"/>
    <n v="0.26961764705882352"/>
    <n v="-338.51"/>
    <m/>
    <m/>
    <n v="-338.51"/>
    <x v="0"/>
    <n v="0"/>
  </r>
  <r>
    <n v="1"/>
    <s v="OGXPD16_1"/>
    <d v="2012-03-29T00:00:00"/>
    <d v="2012-03-30T00:00:00"/>
    <n v="30"/>
    <x v="6"/>
    <x v="3"/>
    <x v="0"/>
    <x v="37"/>
    <s v="C"/>
    <n v="1900"/>
    <n v="-472.17"/>
    <n v="0.24851052631578949"/>
    <n v="0"/>
    <n v="0"/>
    <m/>
    <m/>
    <n v="0"/>
    <x v="0"/>
    <n v="0"/>
  </r>
  <r>
    <n v="1"/>
    <s v="PETRD24_1"/>
    <d v="2012-03-30T00:00:00"/>
    <d v="2012-04-02T00:00:00"/>
    <n v="2"/>
    <x v="7"/>
    <x v="3"/>
    <x v="0"/>
    <x v="30"/>
    <s v="C"/>
    <n v="1200"/>
    <n v="-472.36"/>
    <n v="0.39363333333333334"/>
    <n v="0.88075000000000003"/>
    <n v="0"/>
    <m/>
    <m/>
    <n v="0"/>
    <x v="0"/>
    <n v="0"/>
  </r>
  <r>
    <n v="2"/>
    <s v="BVMFD12_2"/>
    <d v="2012-04-02T00:00:00"/>
    <d v="2012-04-03T00:00:00"/>
    <n v="3"/>
    <x v="7"/>
    <x v="3"/>
    <x v="0"/>
    <x v="36"/>
    <s v="C"/>
    <n v="3000"/>
    <n v="-496.4"/>
    <n v="0.16546666666666665"/>
    <n v="0"/>
    <n v="0"/>
    <m/>
    <m/>
    <n v="0"/>
    <x v="0"/>
    <n v="0"/>
  </r>
  <r>
    <n v="1"/>
    <s v="OGXPD16_1"/>
    <d v="2012-04-03T00:00:00"/>
    <d v="2012-04-04T00:00:00"/>
    <n v="4"/>
    <x v="7"/>
    <x v="3"/>
    <x v="0"/>
    <x v="37"/>
    <s v="C"/>
    <n v="-1900"/>
    <n v="155.02000000000001"/>
    <n v="8.1589473684210531E-2"/>
    <n v="0.24851052631578949"/>
    <n v="-317.15000000000003"/>
    <m/>
    <m/>
    <n v="-317.15000000000003"/>
    <x v="0"/>
    <n v="0"/>
  </r>
  <r>
    <n v="1"/>
    <s v="PETRD24_1"/>
    <d v="2012-04-04T00:00:00"/>
    <d v="2012-04-05T00:00:00"/>
    <n v="5"/>
    <x v="7"/>
    <x v="3"/>
    <x v="0"/>
    <x v="30"/>
    <s v="C"/>
    <n v="-1300"/>
    <n v="49.16"/>
    <n v="3.7815384615384612E-2"/>
    <n v="0.46322142857142856"/>
    <n v="-553.02785714285721"/>
    <m/>
    <m/>
    <n v="-553.02785714285721"/>
    <x v="0"/>
    <n v="0"/>
  </r>
  <r>
    <n v="1"/>
    <s v="VALED42_1"/>
    <d v="2012-04-05T00:00:00"/>
    <d v="2012-04-06T00:00:00"/>
    <n v="6"/>
    <x v="7"/>
    <x v="3"/>
    <x v="0"/>
    <x v="38"/>
    <s v="C"/>
    <n v="800"/>
    <n v="-416.29"/>
    <n v="0.52036250000000006"/>
    <n v="0"/>
    <n v="0"/>
    <m/>
    <m/>
    <n v="0"/>
    <x v="0"/>
    <n v="0"/>
  </r>
  <r>
    <n v="1"/>
    <s v="VALED42_1"/>
    <d v="2012-04-12T00:00:00"/>
    <d v="2012-04-13T00:00:00"/>
    <n v="13"/>
    <x v="7"/>
    <x v="3"/>
    <x v="0"/>
    <x v="38"/>
    <s v="C"/>
    <n v="-800"/>
    <n v="783.17"/>
    <n v="0.97896249999999996"/>
    <n v="0.52036250000000006"/>
    <n v="366.87999999999994"/>
    <m/>
    <m/>
    <n v="366.87999999999994"/>
    <x v="0"/>
    <n v="0"/>
  </r>
  <r>
    <n v="2"/>
    <s v="BVMFD12_2"/>
    <d v="2012-04-16T00:00:00"/>
    <d v="2012-04-17T00:00:00"/>
    <n v="17"/>
    <x v="7"/>
    <x v="3"/>
    <x v="0"/>
    <x v="36"/>
    <s v="C"/>
    <n v="-3000"/>
    <n v="0"/>
    <n v="0"/>
    <n v="0.16546666666666665"/>
    <n v="-496.4"/>
    <m/>
    <m/>
    <n v="-496.4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J8" firstHeaderRow="1" firstDataRow="3" firstDataCol="1"/>
  <pivotFields count="20">
    <pivotField showAll="0" defaultSubtotal="0"/>
    <pivotField showAll="0"/>
    <pivotField numFmtId="14" showAll="0"/>
    <pivotField numFmtId="14" showAll="0"/>
    <pivotField showAll="0"/>
    <pivotField axis="axisRow" showAll="0">
      <items count="9">
        <item sd="0" x="0"/>
        <item sd="0" x="5"/>
        <item sd="0" x="1"/>
        <item sd="0" x="2"/>
        <item sd="0" x="3"/>
        <item sd="0" x="4"/>
        <item sd="0" x="6"/>
        <item x="7"/>
        <item t="default"/>
      </items>
    </pivotField>
    <pivotField axis="axisRow" showAll="0" sortType="ascending" defaultSubtotal="0">
      <items count="4">
        <item sd="0" x="2"/>
        <item sd="0" x="3"/>
        <item sd="0" x="0"/>
        <item sd="0" x="1"/>
      </items>
    </pivotField>
    <pivotField axis="axisRow" showAll="0">
      <items count="4">
        <item sd="0" x="1"/>
        <item sd="0" x="0"/>
        <item m="1" x="2"/>
        <item t="default"/>
      </items>
    </pivotField>
    <pivotField axis="axisRow" showAll="0">
      <items count="41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39"/>
        <item x="35"/>
        <item x="36"/>
        <item x="37"/>
        <item x="38"/>
        <item t="default"/>
      </items>
    </pivotField>
    <pivotField showAll="0" defaultSubtotal="0"/>
    <pivotField showAll="0"/>
    <pivotField dataField="1" numFmtId="44" showAll="0"/>
    <pivotField numFmtId="164" showAll="0"/>
    <pivotField numFmtId="165" showAll="0"/>
    <pivotField numFmtId="44" showAll="0"/>
    <pivotField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3">
    <i>
      <x/>
    </i>
    <i>
      <x v="1"/>
    </i>
    <i t="grand">
      <x/>
    </i>
  </rowItems>
  <colFields count="2">
    <field x="-2"/>
    <field x="18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* Base IR" fld="17" baseField="0" baseItem="0" numFmtId="44"/>
    <dataField name="* Líquido" fld="11" baseField="0" baseItem="0" numFmtId="44"/>
    <dataField name="* Volume Ação" fld="19" subtotal="max" baseField="0" baseItem="0" numFmtId="4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T93" totalsRowCount="1" headerRowDxfId="41" dataDxfId="40">
  <autoFilter ref="A1:T92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</autoFilter>
  <tableColumns count="20">
    <tableColumn id="11" name="Trade" totalsRowLabel="Total" dataDxfId="25" totalsRowDxfId="19"/>
    <tableColumn id="8" name="ID" dataDxfId="23" totalsRowDxfId="18">
      <calculatedColumnFormula>CONCATENATE(Tabela1[[#This Row],[Papel]],"_",Tabela1[[#This Row],[Trade]])</calculatedColumnFormula>
    </tableColumn>
    <tableColumn id="18" name="Data" dataDxfId="39" totalsRowDxfId="17"/>
    <tableColumn id="1" name="Data Liquidação" dataDxfId="38" totalsRowDxfId="16">
      <calculatedColumnFormula>WORKDAY(Tabela1[[#This Row],[Data]],IF(Tabela1[[#This Row],[Tipo]]="Opção",1,3))</calculatedColumnFormula>
    </tableColumn>
    <tableColumn id="9" name="Dia" dataDxfId="37" totalsRowDxfId="15">
      <calculatedColumnFormula>DAY(Tabela1[[#This Row],[Data Liquidação]])</calculatedColumnFormula>
    </tableColumn>
    <tableColumn id="2" name="Mês" dataDxfId="36" totalsRowDxfId="14">
      <calculatedColumnFormula>MONTH([Data Liquidação])</calculatedColumnFormula>
    </tableColumn>
    <tableColumn id="19" name="Ano" dataDxfId="35" totalsRowDxfId="13" dataCellStyle="Moeda">
      <calculatedColumnFormula>YEAR(Tabela1[[#This Row],[Data Liquidação]])</calculatedColumnFormula>
    </tableColumn>
    <tableColumn id="7" name="Tipo" dataDxfId="34" totalsRowDxfId="12"/>
    <tableColumn id="3" name="Papel" dataDxfId="33" totalsRowDxfId="11"/>
    <tableColumn id="15" name="C/V" dataDxfId="24" totalsRowDxfId="10"/>
    <tableColumn id="4" name="Quantidade" dataDxfId="32" totalsRowDxfId="9"/>
    <tableColumn id="5" name="Líquido" totalsRowFunction="sum" dataDxfId="31" totalsRowDxfId="8" dataCellStyle="Moeda"/>
    <tableColumn id="6" name="PM Operação" dataDxfId="30" totalsRowDxfId="7">
      <calculatedColumnFormula>IF([Quantidade]&lt;&gt;0,ABS([Líquido])/ABS([Quantidade]),0)</calculatedColumnFormula>
    </tableColumn>
    <tableColumn id="12" name="PM Papel" dataDxfId="22" totalsRowDxfId="6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10" name="Resultado" totalsRowFunction="sum" dataDxfId="21" totalsRowDxfId="5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29" totalsRowDxfId="0" dataCellStyle="Porcentagem">
      <totalsRowFormula>Tabela1[[#Totals],[Resultado]]/ABS(Tabela1[[#Totals],[Líquido]])</totalsRowFormula>
    </tableColumn>
    <tableColumn id="14" name="Outras Bovespa" dataDxfId="28" totalsRowDxfId="4"/>
    <tableColumn id="16" name="Base IR" totalsRowFunction="sum" dataDxfId="27" totalsRowDxfId="3">
      <calculatedColumnFormula>Tabela1[[#This Row],[Resultado]]+Tabela1[[#This Row],[IRFF]]+Tabela1[[#This Row],[Outras Bovespa]]</calculatedColumnFormula>
    </tableColumn>
    <tableColumn id="13" name="N/D" totalsRowFunction="count" dataDxfId="26" totalsRowDxfId="2">
      <calculatedColumnFormula>IF([Quantidade]=0,"D","N")</calculatedColumnFormula>
    </tableColumn>
    <tableColumn id="20" name="Volume Ação" dataDxfId="20" totalsRowDxfId="1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3"/>
  <sheetViews>
    <sheetView tabSelected="1" topLeftCell="A80" workbookViewId="0">
      <selection activeCell="P97" sqref="P97"/>
    </sheetView>
  </sheetViews>
  <sheetFormatPr defaultRowHeight="11.25"/>
  <cols>
    <col min="1" max="1" width="6.85546875" style="7" bestFit="1" customWidth="1"/>
    <col min="2" max="2" width="8.42578125" style="2" bestFit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0.28515625" style="11" bestFit="1" customWidth="1"/>
    <col min="13" max="13" width="12" style="1" bestFit="1" customWidth="1"/>
    <col min="14" max="14" width="10.28515625" style="1" bestFit="1" customWidth="1"/>
    <col min="15" max="15" width="10.5703125" style="1" bestFit="1" customWidth="1"/>
    <col min="16" max="16" width="6.85546875" style="1" bestFit="1" customWidth="1"/>
    <col min="17" max="17" width="14" style="1" bestFit="1" customWidth="1"/>
    <col min="18" max="18" width="10.28515625" style="1" bestFit="1" customWidth="1"/>
    <col min="19" max="19" width="5.85546875" style="1" bestFit="1" customWidth="1"/>
    <col min="20" max="20" width="12" style="1" bestFit="1" customWidth="1"/>
    <col min="21" max="16384" width="9.140625" style="1"/>
  </cols>
  <sheetData>
    <row r="1" spans="1:20">
      <c r="A1" s="7" t="s">
        <v>42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39</v>
      </c>
      <c r="H1" s="1" t="s">
        <v>6</v>
      </c>
      <c r="I1" s="1" t="s">
        <v>2</v>
      </c>
      <c r="J1" s="1" t="s">
        <v>47</v>
      </c>
      <c r="K1" s="7" t="s">
        <v>4</v>
      </c>
      <c r="L1" s="3" t="s">
        <v>5</v>
      </c>
      <c r="M1" s="13" t="s">
        <v>11</v>
      </c>
      <c r="N1" s="15" t="s">
        <v>12</v>
      </c>
      <c r="O1" s="11" t="s">
        <v>9</v>
      </c>
      <c r="P1" s="11" t="s">
        <v>18</v>
      </c>
      <c r="Q1" s="11" t="s">
        <v>17</v>
      </c>
      <c r="R1" s="11" t="s">
        <v>19</v>
      </c>
      <c r="S1" s="1" t="s">
        <v>15</v>
      </c>
      <c r="T1" s="1" t="s">
        <v>40</v>
      </c>
    </row>
    <row r="2" spans="1:20">
      <c r="A2" s="7">
        <v>1</v>
      </c>
      <c r="B2" s="7" t="str">
        <f>CONCATENATE(Tabela1[[#This Row],[Papel]],"_",Tabela1[[#This Row],[Trade]])</f>
        <v>PETRA20_1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48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" s="11"/>
      <c r="Q2" s="11"/>
      <c r="R2" s="11">
        <f>Tabela1[[#This Row],[Resultado]]+Tabela1[[#This Row],[IRFF]]+Tabela1[[#This Row],[Outras Bovespa]]</f>
        <v>0</v>
      </c>
      <c r="S2" s="7" t="str">
        <f>IF([Quantidade]=0,"D","N")</f>
        <v>N</v>
      </c>
      <c r="T2" s="11">
        <f>IF([Tipo]="Ação",SUMPRODUCT(N([Ano]=Tabela1[[#This Row],[Ano]]),N([Mês]=Tabela1[[#This Row],[Mês]]),N([Quantidade]&lt;0),N([Tipo]="Ação"),ABS([Líquido])),0)</f>
        <v>0</v>
      </c>
    </row>
    <row r="3" spans="1:20">
      <c r="A3" s="10">
        <v>1</v>
      </c>
      <c r="B3" s="10" t="str">
        <f>CONCATENATE(Tabela1[[#This Row],[Papel]],"_",Tabela1[[#This Row],[Trade]])</f>
        <v>PETRA20_1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48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P3" s="11"/>
      <c r="Q3" s="11"/>
      <c r="R3" s="11">
        <f>Tabela1[[#This Row],[Resultado]]+Tabela1[[#This Row],[IRFF]]+Tabela1[[#This Row],[Outras Bovespa]]</f>
        <v>-51.21</v>
      </c>
      <c r="S3" s="7" t="str">
        <f>IF([Quantidade]=0,"D","N")</f>
        <v>N</v>
      </c>
      <c r="T3" s="11">
        <f>IF([Tipo]="Ação",SUMPRODUCT(N([Ano]=Tabela1[[#This Row],[Ano]]),N([Mês]=Tabela1[[#This Row],[Mês]]),N([Quantidade]&lt;0),N([Tipo]="Ação"),ABS([Líquido])),0)</f>
        <v>0</v>
      </c>
    </row>
    <row r="4" spans="1:20">
      <c r="A4" s="10">
        <v>2</v>
      </c>
      <c r="B4" s="10" t="str">
        <f>CONCATENATE(Tabela1[[#This Row],[Papel]],"_",Tabela1[[#This Row],[Trade]])</f>
        <v>VALEI34_2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48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" s="12"/>
      <c r="Q4" s="12"/>
      <c r="R4" s="12">
        <f>Tabela1[[#This Row],[Resultado]]+Tabela1[[#This Row],[IRFF]]+Tabela1[[#This Row],[Outras Bovespa]]</f>
        <v>0</v>
      </c>
      <c r="S4" s="7" t="str">
        <f>IF([Quantidade]=0,"D","N")</f>
        <v>N</v>
      </c>
      <c r="T4" s="11">
        <f>IF([Tipo]="Ação",SUMPRODUCT(N([Ano]=Tabela1[[#This Row],[Ano]]),N([Mês]=Tabela1[[#This Row],[Mês]]),N([Quantidade]&lt;0),N([Tipo]="Ação"),ABS([Líquido])),0)</f>
        <v>0</v>
      </c>
    </row>
    <row r="5" spans="1:20">
      <c r="A5" s="10">
        <v>2</v>
      </c>
      <c r="B5" s="10" t="str">
        <f>CONCATENATE(Tabela1[[#This Row],[Papel]],"_",Tabela1[[#This Row],[Trade]])</f>
        <v>VALEI34_2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48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P5" s="12"/>
      <c r="Q5" s="12"/>
      <c r="R5" s="12">
        <f>Tabela1[[#This Row],[Resultado]]+Tabela1[[#This Row],[IRFF]]+Tabela1[[#This Row],[Outras Bovespa]]</f>
        <v>423.45</v>
      </c>
      <c r="S5" s="7" t="str">
        <f>IF([Quantidade]=0,"D","N")</f>
        <v>N</v>
      </c>
      <c r="T5" s="11">
        <f>IF([Tipo]="Ação",SUMPRODUCT(N([Ano]=Tabela1[[#This Row],[Ano]]),N([Mês]=Tabela1[[#This Row],[Mês]]),N([Quantidade]&lt;0),N([Tipo]="Ação"),ABS([Líquido])),0)</f>
        <v>0</v>
      </c>
    </row>
    <row r="6" spans="1:20">
      <c r="A6" s="10">
        <v>3</v>
      </c>
      <c r="B6" s="10" t="str">
        <f>CONCATENATE(Tabela1[[#This Row],[Papel]],"_",Tabela1[[#This Row],[Trade]])</f>
        <v>PETRI18_3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48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P6" s="12"/>
      <c r="Q6" s="12">
        <v>3.48</v>
      </c>
      <c r="R6" s="12">
        <f>Tabela1[[#This Row],[Resultado]]+Tabela1[[#This Row],[IRFF]]+Tabela1[[#This Row],[Outras Bovespa]]</f>
        <v>-176.26000000000002</v>
      </c>
      <c r="S6" s="7" t="str">
        <f>IF([Quantidade]=0,"D","N")</f>
        <v>D</v>
      </c>
      <c r="T6" s="11">
        <f>IF([Tipo]="Ação",SUMPRODUCT(N([Ano]=Tabela1[[#This Row],[Ano]]),N([Mês]=Tabela1[[#This Row],[Mês]]),N([Quantidade]&lt;0),N([Tipo]="Ação"),ABS([Líquido])),0)</f>
        <v>0</v>
      </c>
    </row>
    <row r="7" spans="1:20">
      <c r="A7" s="10">
        <v>4</v>
      </c>
      <c r="B7" s="10" t="str">
        <f>CONCATENATE(Tabela1[[#This Row],[Papel]],"_",Tabela1[[#This Row],[Trade]])</f>
        <v>VALEJ31_4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48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P7" s="12">
        <v>6.7</v>
      </c>
      <c r="Q7" s="12">
        <v>1.1599999999999999</v>
      </c>
      <c r="R7" s="12">
        <f>Tabela1[[#This Row],[Resultado]]+Tabela1[[#This Row],[IRFF]]+Tabela1[[#This Row],[Outras Bovespa]]</f>
        <v>670.63</v>
      </c>
      <c r="S7" s="10" t="str">
        <f>IF([Quantidade]=0,"D","N")</f>
        <v>D</v>
      </c>
      <c r="T7" s="11">
        <f>IF([Tipo]="Ação",SUMPRODUCT(N([Ano]=Tabela1[[#This Row],[Ano]]),N([Mês]=Tabela1[[#This Row],[Mês]]),N([Quantidade]&lt;0),N([Tipo]="Ação"),ABS([Líquido])),0)</f>
        <v>0</v>
      </c>
    </row>
    <row r="8" spans="1:20">
      <c r="A8" s="10">
        <v>5</v>
      </c>
      <c r="B8" s="10" t="str">
        <f>CONCATENATE(Tabela1[[#This Row],[Papel]],"_",Tabela1[[#This Row],[Trade]])</f>
        <v>VALEJ33_5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48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P8" s="12"/>
      <c r="Q8" s="12">
        <v>1.1599999999999999</v>
      </c>
      <c r="R8" s="12">
        <f>Tabela1[[#This Row],[Resultado]]+Tabela1[[#This Row],[IRFF]]+Tabela1[[#This Row],[Outras Bovespa]]</f>
        <v>-199.06</v>
      </c>
      <c r="S8" s="10" t="str">
        <f>IF([Quantidade]=0,"D","N")</f>
        <v>D</v>
      </c>
      <c r="T8" s="11">
        <f>IF([Tipo]="Ação",SUMPRODUCT(N([Ano]=Tabela1[[#This Row],[Ano]]),N([Mês]=Tabela1[[#This Row],[Mês]]),N([Quantidade]&lt;0),N([Tipo]="Ação"),ABS([Líquido])),0)</f>
        <v>0</v>
      </c>
    </row>
    <row r="9" spans="1:20">
      <c r="A9" s="10">
        <v>6</v>
      </c>
      <c r="B9" s="10" t="str">
        <f>CONCATENATE(Tabela1[[#This Row],[Papel]],"_",Tabela1[[#This Row],[Trade]])</f>
        <v>VALEJ32_6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48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9" s="12"/>
      <c r="Q9" s="12"/>
      <c r="R9" s="12">
        <f>Tabela1[[#This Row],[Resultado]]+Tabela1[[#This Row],[IRFF]]+Tabela1[[#This Row],[Outras Bovespa]]</f>
        <v>0</v>
      </c>
      <c r="S9" s="10" t="str">
        <f>IF([Quantidade]=0,"D","N")</f>
        <v>N</v>
      </c>
      <c r="T9" s="11">
        <f>IF([Tipo]="Ação",SUMPRODUCT(N([Ano]=Tabela1[[#This Row],[Ano]]),N([Mês]=Tabela1[[#This Row],[Mês]]),N([Quantidade]&lt;0),N([Tipo]="Ação"),ABS([Líquido])),0)</f>
        <v>0</v>
      </c>
    </row>
    <row r="10" spans="1:20">
      <c r="A10" s="10">
        <v>6</v>
      </c>
      <c r="B10" s="10" t="str">
        <f>CONCATENATE(Tabela1[[#This Row],[Papel]],"_",Tabela1[[#This Row],[Trade]])</f>
        <v>VALEJ32_6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48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P10" s="12"/>
      <c r="Q10" s="12"/>
      <c r="R10" s="12">
        <f>Tabela1[[#This Row],[Resultado]]+Tabela1[[#This Row],[IRFF]]+Tabela1[[#This Row],[Outras Bovespa]]</f>
        <v>92.80000000000004</v>
      </c>
      <c r="S10" s="10" t="str">
        <f>IF([Quantidade]=0,"D","N")</f>
        <v>N</v>
      </c>
      <c r="T10" s="11">
        <f>IF([Tipo]="Ação",SUMPRODUCT(N([Ano]=Tabela1[[#This Row],[Ano]]),N([Mês]=Tabela1[[#This Row],[Mês]]),N([Quantidade]&lt;0),N([Tipo]="Ação"),ABS([Líquido])),0)</f>
        <v>0</v>
      </c>
    </row>
    <row r="11" spans="1:20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48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1" s="12"/>
      <c r="Q11" s="12"/>
      <c r="R11" s="12">
        <f>Tabela1[[#This Row],[Resultado]]+Tabela1[[#This Row],[IRFF]]+Tabela1[[#This Row],[Outras Bovespa]]</f>
        <v>0</v>
      </c>
      <c r="S11" s="10" t="str">
        <f>IF([Quantidade]=0,"D","N")</f>
        <v>N</v>
      </c>
      <c r="T11" s="11">
        <f>IF([Tipo]="Ação",SUMPRODUCT(N([Ano]=Tabela1[[#This Row],[Ano]]),N([Mês]=Tabela1[[#This Row],[Mês]]),N([Quantidade]&lt;0),N([Tipo]="Ação"),ABS([Líquido])),0)</f>
        <v>0</v>
      </c>
    </row>
    <row r="12" spans="1:20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48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P12" s="12"/>
      <c r="Q12" s="12"/>
      <c r="R12" s="12">
        <f>Tabela1[[#This Row],[Resultado]]+Tabela1[[#This Row],[IRFF]]+Tabela1[[#This Row],[Outras Bovespa]]</f>
        <v>234.65999999999985</v>
      </c>
      <c r="S12" s="10" t="str">
        <f>IF([Quantidade]=0,"D","N")</f>
        <v>N</v>
      </c>
      <c r="T12" s="11">
        <f>IF([Tipo]="Ação",SUMPRODUCT(N([Ano]=Tabela1[[#This Row],[Ano]]),N([Mês]=Tabela1[[#This Row],[Mês]]),N([Quantidade]&lt;0),N([Tipo]="Ação"),ABS([Líquido])),0)</f>
        <v>0</v>
      </c>
    </row>
    <row r="13" spans="1:20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48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P13" s="12"/>
      <c r="Q13" s="12">
        <v>1.1599999999999999</v>
      </c>
      <c r="R13" s="12">
        <f>Tabela1[[#This Row],[Resultado]]+Tabela1[[#This Row],[IRFF]]+Tabela1[[#This Row],[Outras Bovespa]]</f>
        <v>-303.94</v>
      </c>
      <c r="S13" s="10" t="str">
        <f>IF([Quantidade]=0,"D","N")</f>
        <v>D</v>
      </c>
      <c r="T13" s="11">
        <f>IF([Tipo]="Ação",SUMPRODUCT(N([Ano]=Tabela1[[#This Row],[Ano]]),N([Mês]=Tabela1[[#This Row],[Mês]]),N([Quantidade]&lt;0),N([Tipo]="Ação"),ABS([Líquido])),0)</f>
        <v>0</v>
      </c>
    </row>
    <row r="14" spans="1:20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48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P14" s="12"/>
      <c r="Q14" s="12">
        <v>1.1599999999999999</v>
      </c>
      <c r="R14" s="12">
        <f>Tabela1[[#This Row],[Resultado]]+Tabela1[[#This Row],[IRFF]]+Tabela1[[#This Row],[Outras Bovespa]]</f>
        <v>-121.17</v>
      </c>
      <c r="S14" s="10" t="str">
        <f>IF([Quantidade]=0,"D","N")</f>
        <v>D</v>
      </c>
      <c r="T14" s="11">
        <f>IF([Tipo]="Ação",SUMPRODUCT(N([Ano]=Tabela1[[#This Row],[Ano]]),N([Mês]=Tabela1[[#This Row],[Mês]]),N([Quantidade]&lt;0),N([Tipo]="Ação"),ABS([Líquido])),0)</f>
        <v>0</v>
      </c>
    </row>
    <row r="15" spans="1:20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48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5" s="12"/>
      <c r="Q15" s="12"/>
      <c r="R15" s="12">
        <f>Tabela1[[#This Row],[Resultado]]+Tabela1[[#This Row],[IRFF]]+Tabela1[[#This Row],[Outras Bovespa]]</f>
        <v>0</v>
      </c>
      <c r="S15" s="10" t="str">
        <f>IF([Quantidade]=0,"D","N")</f>
        <v>N</v>
      </c>
      <c r="T15" s="11">
        <f>IF([Tipo]="Ação",SUMPRODUCT(N([Ano]=Tabela1[[#This Row],[Ano]]),N([Mês]=Tabela1[[#This Row],[Mês]]),N([Quantidade]&lt;0),N([Tipo]="Ação"),ABS([Líquido])),0)</f>
        <v>0</v>
      </c>
    </row>
    <row r="16" spans="1:20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48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6" s="12"/>
      <c r="Q16" s="12"/>
      <c r="R16" s="12">
        <f>Tabela1[[#This Row],[Resultado]]+Tabela1[[#This Row],[IRFF]]+Tabela1[[#This Row],[Outras Bovespa]]</f>
        <v>0</v>
      </c>
      <c r="S16" s="10" t="str">
        <f>IF([Quantidade]=0,"D","N")</f>
        <v>N</v>
      </c>
      <c r="T16" s="11">
        <f>IF([Tipo]="Ação",SUMPRODUCT(N([Ano]=Tabela1[[#This Row],[Ano]]),N([Mês]=Tabela1[[#This Row],[Mês]]),N([Quantidade]&lt;0),N([Tipo]="Ação"),ABS([Líquido])),0)</f>
        <v>0</v>
      </c>
    </row>
    <row r="17" spans="1:20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48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P17" s="12"/>
      <c r="Q17" s="12">
        <v>1.1599999999999999</v>
      </c>
      <c r="R17" s="12">
        <f>Tabela1[[#This Row],[Resultado]]+Tabela1[[#This Row],[IRFF]]+Tabela1[[#This Row],[Outras Bovespa]]</f>
        <v>-83.23</v>
      </c>
      <c r="S17" s="10" t="str">
        <f>IF([Quantidade]=0,"D","N")</f>
        <v>D</v>
      </c>
      <c r="T17" s="11">
        <f>IF([Tipo]="Ação",SUMPRODUCT(N([Ano]=Tabela1[[#This Row],[Ano]]),N([Mês]=Tabela1[[#This Row],[Mês]]),N([Quantidade]&lt;0),N([Tipo]="Ação"),ABS([Líquido])),0)</f>
        <v>0</v>
      </c>
    </row>
    <row r="18" spans="1:20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48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P18" s="12"/>
      <c r="Q18" s="12"/>
      <c r="R18" s="12">
        <f>Tabela1[[#This Row],[Resultado]]+Tabela1[[#This Row],[IRFF]]+Tabela1[[#This Row],[Outras Bovespa]]</f>
        <v>-82.130000000000166</v>
      </c>
      <c r="S18" s="10" t="str">
        <f>IF([Quantidade]=0,"D","N")</f>
        <v>N</v>
      </c>
      <c r="T18" s="11">
        <f>IF([Tipo]="Ação",SUMPRODUCT(N([Ano]=Tabela1[[#This Row],[Ano]]),N([Mês]=Tabela1[[#This Row],[Mês]]),N([Quantidade]&lt;0),N([Tipo]="Ação"),ABS([Líquido])),0)</f>
        <v>0</v>
      </c>
    </row>
    <row r="19" spans="1:20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26</v>
      </c>
      <c r="J19" s="1" t="s">
        <v>48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19" s="11"/>
      <c r="Q19" s="11"/>
      <c r="R19" s="11">
        <f>Tabela1[[#This Row],[Resultado]]+Tabela1[[#This Row],[IRFF]]+Tabela1[[#This Row],[Outras Bovespa]]</f>
        <v>0</v>
      </c>
      <c r="S19" s="7" t="str">
        <f>IF([Quantidade]=0,"D","N")</f>
        <v>N</v>
      </c>
      <c r="T19" s="11">
        <f>IF([Tipo]="Ação",SUMPRODUCT(N([Ano]=Tabela1[[#This Row],[Ano]]),N([Mês]=Tabela1[[#This Row],[Mês]]),N([Quantidade]&lt;0),N([Tipo]="Ação"),ABS([Líquido])),0)</f>
        <v>0</v>
      </c>
    </row>
    <row r="20" spans="1:20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27</v>
      </c>
      <c r="J20" s="1" t="s">
        <v>48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0" s="11"/>
      <c r="Q20" s="11"/>
      <c r="R20" s="11">
        <f>Tabela1[[#This Row],[Resultado]]+Tabela1[[#This Row],[IRFF]]+Tabela1[[#This Row],[Outras Bovespa]]</f>
        <v>0</v>
      </c>
      <c r="S20" s="7" t="str">
        <f>IF([Quantidade]=0,"D","N")</f>
        <v>N</v>
      </c>
      <c r="T20" s="11">
        <f>IF([Tipo]="Ação",SUMPRODUCT(N([Ano]=Tabela1[[#This Row],[Ano]]),N([Mês]=Tabela1[[#This Row],[Mês]]),N([Quantidade]&lt;0),N([Tipo]="Ação"),ABS([Líquido])),0)</f>
        <v>0</v>
      </c>
    </row>
    <row r="21" spans="1:20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27</v>
      </c>
      <c r="J21" s="1" t="s">
        <v>48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P21" s="11"/>
      <c r="Q21" s="11"/>
      <c r="R21" s="11">
        <f>Tabela1[[#This Row],[Resultado]]+Tabela1[[#This Row],[IRFF]]+Tabela1[[#This Row],[Outras Bovespa]]</f>
        <v>-215.15000000000003</v>
      </c>
      <c r="S21" s="7" t="str">
        <f>IF([Quantidade]=0,"D","N")</f>
        <v>N</v>
      </c>
      <c r="T21" s="11">
        <f>IF([Tipo]="Ação",SUMPRODUCT(N([Ano]=Tabela1[[#This Row],[Ano]]),N([Mês]=Tabela1[[#This Row],[Mês]]),N([Quantidade]&lt;0),N([Tipo]="Ação"),ABS([Líquido])),0)</f>
        <v>0</v>
      </c>
    </row>
    <row r="22" spans="1:20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28</v>
      </c>
      <c r="J22" s="1" t="s">
        <v>48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2" s="11"/>
      <c r="Q22" s="11"/>
      <c r="R22" s="11">
        <f>Tabela1[[#This Row],[Resultado]]+Tabela1[[#This Row],[IRFF]]+Tabela1[[#This Row],[Outras Bovespa]]</f>
        <v>0</v>
      </c>
      <c r="S22" s="7" t="str">
        <f>IF([Quantidade]=0,"D","N")</f>
        <v>N</v>
      </c>
      <c r="T22" s="11">
        <f>IF([Tipo]="Ação",SUMPRODUCT(N([Ano]=Tabela1[[#This Row],[Ano]]),N([Mês]=Tabela1[[#This Row],[Mês]]),N([Quantidade]&lt;0),N([Tipo]="Ação"),ABS([Líquido])),0)</f>
        <v>0</v>
      </c>
    </row>
    <row r="23" spans="1:20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26</v>
      </c>
      <c r="J23" s="1" t="s">
        <v>48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P23" s="11"/>
      <c r="Q23" s="11"/>
      <c r="R23" s="11">
        <f>Tabela1[[#This Row],[Resultado]]+Tabela1[[#This Row],[IRFF]]+Tabela1[[#This Row],[Outras Bovespa]]</f>
        <v>-374.90999999999997</v>
      </c>
      <c r="S23" s="7" t="str">
        <f>IF([Quantidade]=0,"D","N")</f>
        <v>N</v>
      </c>
      <c r="T23" s="11">
        <f>IF([Tipo]="Ação",SUMPRODUCT(N([Ano]=Tabela1[[#This Row],[Ano]]),N([Mês]=Tabela1[[#This Row],[Mês]]),N([Quantidade]&lt;0),N([Tipo]="Ação"),ABS([Líquido])),0)</f>
        <v>0</v>
      </c>
    </row>
    <row r="24" spans="1:20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28</v>
      </c>
      <c r="J24" s="5" t="s">
        <v>48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P24" s="12"/>
      <c r="Q24" s="12"/>
      <c r="R24" s="12">
        <f>Tabela1[[#This Row],[Resultado]]+Tabela1[[#This Row],[IRFF]]+Tabela1[[#This Row],[Outras Bovespa]]</f>
        <v>-416.52</v>
      </c>
      <c r="S24" s="10" t="str">
        <f>IF([Quantidade]=0,"D","N")</f>
        <v>N</v>
      </c>
      <c r="T24" s="11">
        <f>IF([Tipo]="Ação",SUMPRODUCT(N([Ano]=Tabela1[[#This Row],[Ano]]),N([Mês]=Tabela1[[#This Row],[Mês]]),N([Quantidade]&lt;0),N([Tipo]="Ação"),ABS([Líquido])),0)</f>
        <v>0</v>
      </c>
    </row>
    <row r="25" spans="1:20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26</v>
      </c>
      <c r="J25" s="1" t="s">
        <v>48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5" s="11"/>
      <c r="Q25" s="11"/>
      <c r="R25" s="11">
        <f>Tabela1[[#This Row],[Resultado]]+Tabela1[[#This Row],[IRFF]]+Tabela1[[#This Row],[Outras Bovespa]]</f>
        <v>0</v>
      </c>
      <c r="S25" s="7" t="str">
        <f>IF([Quantidade]=0,"D","N")</f>
        <v>N</v>
      </c>
      <c r="T25" s="11">
        <f>IF([Tipo]="Ação",SUMPRODUCT(N([Ano]=Tabela1[[#This Row],[Ano]]),N([Mês]=Tabela1[[#This Row],[Mês]]),N([Quantidade]&lt;0),N([Tipo]="Ação"),ABS([Líquido])),0)</f>
        <v>0</v>
      </c>
    </row>
    <row r="26" spans="1:20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26</v>
      </c>
      <c r="J26" s="5" t="s">
        <v>48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P26" s="12"/>
      <c r="Q26" s="12"/>
      <c r="R26" s="12">
        <f>Tabela1[[#This Row],[Resultado]]+Tabela1[[#This Row],[IRFF]]+Tabela1[[#This Row],[Outras Bovespa]]</f>
        <v>-236.62000000000006</v>
      </c>
      <c r="S26" s="10" t="str">
        <f>IF([Quantidade]=0,"D","N")</f>
        <v>N</v>
      </c>
      <c r="T26" s="11">
        <f>IF([Tipo]="Ação",SUMPRODUCT(N([Ano]=Tabela1[[#This Row],[Ano]]),N([Mês]=Tabela1[[#This Row],[Mês]]),N([Quantidade]&lt;0),N([Tipo]="Ação"),ABS([Líquido])),0)</f>
        <v>0</v>
      </c>
    </row>
    <row r="27" spans="1:20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48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27" s="11"/>
      <c r="Q27" s="11"/>
      <c r="R27" s="11">
        <f>Tabela1[[#This Row],[Resultado]]+Tabela1[[#This Row],[IRFF]]+Tabela1[[#This Row],[Outras Bovespa]]</f>
        <v>0</v>
      </c>
      <c r="S27" s="7" t="str">
        <f>IF([Quantidade]=0,"D","N")</f>
        <v>N</v>
      </c>
      <c r="T27" s="11">
        <f>IF([Tipo]="Ação",SUMPRODUCT(N([Ano]=Tabela1[[#This Row],[Ano]]),N([Mês]=Tabela1[[#This Row],[Mês]]),N([Quantidade]&lt;0),N([Tipo]="Ação"),ABS([Líquido])),0)</f>
        <v>0</v>
      </c>
    </row>
    <row r="28" spans="1:20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48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P28" s="12"/>
      <c r="Q28" s="12"/>
      <c r="R28" s="12">
        <f>Tabela1[[#This Row],[Resultado]]+Tabela1[[#This Row],[IRFF]]+Tabela1[[#This Row],[Outras Bovespa]]</f>
        <v>-9.9400000000000048</v>
      </c>
      <c r="S28" s="10" t="str">
        <f>IF([Quantidade]=0,"D","N")</f>
        <v>N</v>
      </c>
      <c r="T28" s="11">
        <f>IF([Tipo]="Ação",SUMPRODUCT(N([Ano]=Tabela1[[#This Row],[Ano]]),N([Mês]=Tabela1[[#This Row],[Mês]]),N([Quantidade]&lt;0),N([Tipo]="Ação"),ABS([Líquido])),0)</f>
        <v>0</v>
      </c>
    </row>
    <row r="29" spans="1:20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48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P29" s="12"/>
      <c r="Q29" s="12">
        <v>1.1599999999999999</v>
      </c>
      <c r="R29" s="12">
        <f>Tabela1[[#This Row],[Resultado]]+Tabela1[[#This Row],[IRFF]]+Tabela1[[#This Row],[Outras Bovespa]]</f>
        <v>-92.91</v>
      </c>
      <c r="S29" s="10" t="str">
        <f>IF([Quantidade]=0,"D","N")</f>
        <v>D</v>
      </c>
      <c r="T29" s="11">
        <f>IF([Tipo]="Ação",SUMPRODUCT(N([Ano]=Tabela1[[#This Row],[Ano]]),N([Mês]=Tabela1[[#This Row],[Mês]]),N([Quantidade]&lt;0),N([Tipo]="Ação"),ABS([Líquido])),0)</f>
        <v>0</v>
      </c>
    </row>
    <row r="30" spans="1:20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29</v>
      </c>
      <c r="J30" s="1" t="s">
        <v>48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0" s="11"/>
      <c r="Q30" s="11"/>
      <c r="R30" s="11">
        <f>Tabela1[[#This Row],[Resultado]]+Tabela1[[#This Row],[IRFF]]+Tabela1[[#This Row],[Outras Bovespa]]</f>
        <v>0</v>
      </c>
      <c r="S30" s="7" t="str">
        <f>IF([Quantidade]=0,"D","N")</f>
        <v>N</v>
      </c>
      <c r="T30" s="11">
        <f>IF([Tipo]="Ação",SUMPRODUCT(N([Ano]=Tabela1[[#This Row],[Ano]]),N([Mês]=Tabela1[[#This Row],[Mês]]),N([Quantidade]&lt;0),N([Tipo]="Ação"),ABS([Líquido])),0)</f>
        <v>0</v>
      </c>
    </row>
    <row r="31" spans="1:20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30</v>
      </c>
      <c r="J31" s="5" t="s">
        <v>48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1" s="12"/>
      <c r="Q31" s="12"/>
      <c r="R31" s="12">
        <f>Tabela1[[#This Row],[Resultado]]+Tabela1[[#This Row],[IRFF]]+Tabela1[[#This Row],[Outras Bovespa]]</f>
        <v>0</v>
      </c>
      <c r="S31" s="10" t="str">
        <f>IF([Quantidade]=0,"D","N")</f>
        <v>N</v>
      </c>
      <c r="T31" s="11">
        <f>IF([Tipo]="Ação",SUMPRODUCT(N([Ano]=Tabela1[[#This Row],[Ano]]),N([Mês]=Tabela1[[#This Row],[Mês]]),N([Quantidade]&lt;0),N([Tipo]="Ação"),ABS([Líquido])),0)</f>
        <v>0</v>
      </c>
    </row>
    <row r="32" spans="1:20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30</v>
      </c>
      <c r="J32" s="1" t="s">
        <v>48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P32" s="11"/>
      <c r="Q32" s="11"/>
      <c r="R32" s="11">
        <f>Tabela1[[#This Row],[Resultado]]+Tabela1[[#This Row],[IRFF]]+Tabela1[[#This Row],[Outras Bovespa]]</f>
        <v>-7.7100000000000506</v>
      </c>
      <c r="S32" s="7" t="str">
        <f>IF([Quantidade]=0,"D","N")</f>
        <v>N</v>
      </c>
      <c r="T32" s="11">
        <f>IF([Tipo]="Ação",SUMPRODUCT(N([Ano]=Tabela1[[#This Row],[Ano]]),N([Mês]=Tabela1[[#This Row],[Mês]]),N([Quantidade]&lt;0),N([Tipo]="Ação"),ABS([Líquido])),0)</f>
        <v>0</v>
      </c>
    </row>
    <row r="33" spans="1:22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31</v>
      </c>
      <c r="J33" s="5" t="s">
        <v>48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3" s="12"/>
      <c r="Q33" s="12"/>
      <c r="R33" s="12">
        <f>Tabela1[[#This Row],[Resultado]]+Tabela1[[#This Row],[IRFF]]+Tabela1[[#This Row],[Outras Bovespa]]</f>
        <v>0</v>
      </c>
      <c r="S33" s="10" t="str">
        <f>IF([Quantidade]=0,"D","N")</f>
        <v>N</v>
      </c>
      <c r="T33" s="11">
        <f>IF([Tipo]="Ação",SUMPRODUCT(N([Ano]=Tabela1[[#This Row],[Ano]]),N([Mês]=Tabela1[[#This Row],[Mês]]),N([Quantidade]&lt;0),N([Tipo]="Ação"),ABS([Líquido])),0)</f>
        <v>0</v>
      </c>
    </row>
    <row r="34" spans="1:22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29</v>
      </c>
      <c r="J34" s="5" t="s">
        <v>48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P34" s="12"/>
      <c r="Q34" s="12"/>
      <c r="R34" s="12">
        <f>Tabela1[[#This Row],[Resultado]]+Tabela1[[#This Row],[IRFF]]+Tabela1[[#This Row],[Outras Bovespa]]</f>
        <v>-200</v>
      </c>
      <c r="S34" s="10" t="str">
        <f>IF([Quantidade]=0,"D","N")</f>
        <v>N</v>
      </c>
      <c r="T34" s="11">
        <f>IF([Tipo]="Ação",SUMPRODUCT(N([Ano]=Tabela1[[#This Row],[Ano]]),N([Mês]=Tabela1[[#This Row],[Mês]]),N([Quantidade]&lt;0),N([Tipo]="Ação"),ABS([Líquido])),0)</f>
        <v>0</v>
      </c>
      <c r="V34" s="11"/>
    </row>
    <row r="35" spans="1:22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31</v>
      </c>
      <c r="J35" s="5" t="s">
        <v>48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P35" s="12"/>
      <c r="Q35" s="12"/>
      <c r="R35" s="12">
        <f>Tabela1[[#This Row],[Resultado]]+Tabela1[[#This Row],[IRFF]]+Tabela1[[#This Row],[Outras Bovespa]]</f>
        <v>-436.36</v>
      </c>
      <c r="S35" s="10" t="str">
        <f>IF([Quantidade]=0,"D","N")</f>
        <v>N</v>
      </c>
      <c r="T35" s="11">
        <f>IF([Tipo]="Ação",SUMPRODUCT(N([Ano]=Tabela1[[#This Row],[Ano]]),N([Mês]=Tabela1[[#This Row],[Mês]]),N([Quantidade]&lt;0),N([Tipo]="Ação"),ABS([Líquido])),0)</f>
        <v>0</v>
      </c>
    </row>
    <row r="36" spans="1:22">
      <c r="A36" s="7">
        <v>1</v>
      </c>
      <c r="B36" s="7" t="str">
        <f>CONCATENATE(Tabela1[[#This Row],[Papel]],"_",Tabela1[[#This Row],[Trade]])</f>
        <v>AELP3_1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32</v>
      </c>
      <c r="I36" s="1" t="s">
        <v>33</v>
      </c>
      <c r="J36" s="1" t="s">
        <v>48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6" s="11"/>
      <c r="Q36" s="11"/>
      <c r="R36" s="11">
        <f>Tabela1[[#This Row],[Resultado]]+Tabela1[[#This Row],[IRFF]]+Tabela1[[#This Row],[Outras Bovespa]]</f>
        <v>0</v>
      </c>
      <c r="S36" s="7" t="str">
        <f>IF([Quantidade]=0,"D","N")</f>
        <v>N</v>
      </c>
      <c r="T36" s="11">
        <f>IF([Tipo]="Ação",SUMPRODUCT(N([Ano]=Tabela1[[#This Row],[Ano]]),N([Mês]=Tabela1[[#This Row],[Mês]]),N([Quantidade]&lt;0),N([Tipo]="Ação"),ABS([Líquido])),0)</f>
        <v>0</v>
      </c>
    </row>
    <row r="37" spans="1:22">
      <c r="A37" s="10">
        <v>1</v>
      </c>
      <c r="B37" s="10" t="str">
        <f>CONCATENATE(Tabela1[[#This Row],[Papel]],"_",Tabela1[[#This Row],[Trade]])</f>
        <v>UNIP6_1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32</v>
      </c>
      <c r="I37" s="5" t="s">
        <v>34</v>
      </c>
      <c r="J37" s="5" t="s">
        <v>48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7" s="12"/>
      <c r="Q37" s="12"/>
      <c r="R37" s="12">
        <f>Tabela1[[#This Row],[Resultado]]+Tabela1[[#This Row],[IRFF]]+Tabela1[[#This Row],[Outras Bovespa]]</f>
        <v>0</v>
      </c>
      <c r="S37" s="10" t="str">
        <f>IF([Quantidade]=0,"D","N")</f>
        <v>N</v>
      </c>
      <c r="T37" s="11">
        <f>IF([Tipo]="Ação",SUMPRODUCT(N([Ano]=Tabela1[[#This Row],[Ano]]),N([Mês]=Tabela1[[#This Row],[Mês]]),N([Quantidade]&lt;0),N([Tipo]="Ação"),ABS([Líquido])),0)</f>
        <v>0</v>
      </c>
    </row>
    <row r="38" spans="1:22">
      <c r="A38" s="31">
        <v>1</v>
      </c>
      <c r="B38" s="31" t="str">
        <f>CONCATENATE(Tabela1[[#This Row],[Papel]],"_",Tabela1[[#This Row],[Trade]])</f>
        <v>GOLL4_1</v>
      </c>
      <c r="C38" s="32">
        <v>40877</v>
      </c>
      <c r="D38" s="32">
        <f>WORKDAY(Tabela1[[#This Row],[Data]],IF(Tabela1[[#This Row],[Tipo]]="Opção",1,3))</f>
        <v>40882</v>
      </c>
      <c r="E38" s="33">
        <f>DAY(Tabela1[[#This Row],[Data Liquidação]])</f>
        <v>5</v>
      </c>
      <c r="F38" s="34">
        <f>MONTH([Data Liquidação])</f>
        <v>12</v>
      </c>
      <c r="G38" s="33">
        <f>YEAR(Tabela1[[#This Row],[Data Liquidação]])</f>
        <v>2011</v>
      </c>
      <c r="H38" s="34" t="s">
        <v>32</v>
      </c>
      <c r="I38" s="35" t="s">
        <v>43</v>
      </c>
      <c r="J38" s="35" t="s">
        <v>48</v>
      </c>
      <c r="K38" s="36">
        <v>100</v>
      </c>
      <c r="L38" s="37">
        <v>-1378.23</v>
      </c>
      <c r="M38" s="35">
        <f>IF([Quantidade]&lt;&gt;0,ABS([Líquido])/ABS([Quantidade]),0)</f>
        <v>13.782299999999999</v>
      </c>
      <c r="N38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8" s="39"/>
      <c r="Q38" s="39"/>
      <c r="R38" s="39">
        <f>Tabela1[[#This Row],[Resultado]]+Tabela1[[#This Row],[IRFF]]+Tabela1[[#This Row],[Outras Bovespa]]</f>
        <v>0</v>
      </c>
      <c r="S38" s="31" t="str">
        <f>IF([Quantidade]=0,"D","N")</f>
        <v>N</v>
      </c>
      <c r="T38" s="39">
        <f>IF([Tipo]="Ação",SUMPRODUCT(N([Ano]=Tabela1[[#This Row],[Ano]]),N([Mês]=Tabela1[[#This Row],[Mês]]),N([Quantidade]&lt;0),N([Tipo]="Ação"),ABS([Líquido])),0)</f>
        <v>3095.6400000000003</v>
      </c>
    </row>
    <row r="39" spans="1:22">
      <c r="A39" s="31">
        <v>1</v>
      </c>
      <c r="B39" s="31" t="str">
        <f>CONCATENATE(Tabela1[[#This Row],[Papel]],"_",Tabela1[[#This Row],[Trade]])</f>
        <v>MRFG3_1</v>
      </c>
      <c r="C39" s="32">
        <v>40883</v>
      </c>
      <c r="D39" s="32">
        <f>WORKDAY(Tabela1[[#This Row],[Data]],IF(Tabela1[[#This Row],[Tipo]]="Opção",1,3))</f>
        <v>40886</v>
      </c>
      <c r="E39" s="33">
        <f>DAY(Tabela1[[#This Row],[Data Liquidação]])</f>
        <v>9</v>
      </c>
      <c r="F39" s="34">
        <f>MONTH([Data Liquidação])</f>
        <v>12</v>
      </c>
      <c r="G39" s="33">
        <f>YEAR(Tabela1[[#This Row],[Data Liquidação]])</f>
        <v>2011</v>
      </c>
      <c r="H39" s="34" t="s">
        <v>32</v>
      </c>
      <c r="I39" s="35" t="s">
        <v>44</v>
      </c>
      <c r="J39" s="35" t="s">
        <v>48</v>
      </c>
      <c r="K39" s="36">
        <v>100</v>
      </c>
      <c r="L39" s="37">
        <v>-861.05</v>
      </c>
      <c r="M39" s="35">
        <f>IF([Quantidade]&lt;&gt;0,ABS([Líquido])/ABS([Quantidade]),0)</f>
        <v>8.6105</v>
      </c>
      <c r="N39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9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39" s="39"/>
      <c r="Q39" s="39"/>
      <c r="R39" s="39">
        <f>Tabela1[[#This Row],[Resultado]]+Tabela1[[#This Row],[IRFF]]+Tabela1[[#This Row],[Outras Bovespa]]</f>
        <v>0</v>
      </c>
      <c r="S39" s="31" t="str">
        <f>IF([Quantidade]=0,"D","N")</f>
        <v>N</v>
      </c>
      <c r="T39" s="39">
        <f>IF([Tipo]="Ação",SUMPRODUCT(N([Ano]=Tabela1[[#This Row],[Ano]]),N([Mês]=Tabela1[[#This Row],[Mês]]),N([Quantidade]&lt;0),N([Tipo]="Ação"),ABS([Líquido])),0)</f>
        <v>3095.6400000000003</v>
      </c>
    </row>
    <row r="40" spans="1:22">
      <c r="A40" s="31">
        <v>1</v>
      </c>
      <c r="B40" s="31" t="str">
        <f>CONCATENATE(Tabela1[[#This Row],[Papel]],"_",Tabela1[[#This Row],[Trade]])</f>
        <v>GOLL4_1</v>
      </c>
      <c r="C40" s="32">
        <v>40884</v>
      </c>
      <c r="D40" s="32">
        <f>WORKDAY(Tabela1[[#This Row],[Data]],IF(Tabela1[[#This Row],[Tipo]]="Opção",1,3))</f>
        <v>40889</v>
      </c>
      <c r="E40" s="33">
        <f>DAY(Tabela1[[#This Row],[Data Liquidação]])</f>
        <v>12</v>
      </c>
      <c r="F40" s="34">
        <f>MONTH([Data Liquidação])</f>
        <v>12</v>
      </c>
      <c r="G40" s="33">
        <f>YEAR(Tabela1[[#This Row],[Data Liquidação]])</f>
        <v>2011</v>
      </c>
      <c r="H40" s="34" t="s">
        <v>32</v>
      </c>
      <c r="I40" s="35" t="s">
        <v>43</v>
      </c>
      <c r="J40" s="35" t="s">
        <v>48</v>
      </c>
      <c r="K40" s="36">
        <v>-100</v>
      </c>
      <c r="L40" s="37">
        <v>1583.68</v>
      </c>
      <c r="M40" s="35">
        <f>IF([Quantidade]&lt;&gt;0,ABS([Líquido])/ABS([Quantidade]),0)</f>
        <v>15.8368</v>
      </c>
      <c r="N40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13.782299999999999</v>
      </c>
      <c r="O40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205.4500000000001</v>
      </c>
      <c r="P40" s="39"/>
      <c r="Q40" s="39"/>
      <c r="R40" s="39">
        <f>Tabela1[[#This Row],[Resultado]]+Tabela1[[#This Row],[IRFF]]+Tabela1[[#This Row],[Outras Bovespa]]</f>
        <v>205.4500000000001</v>
      </c>
      <c r="S40" s="31" t="str">
        <f>IF([Quantidade]=0,"D","N")</f>
        <v>N</v>
      </c>
      <c r="T40" s="39">
        <f>IF([Tipo]="Ação",SUMPRODUCT(N([Ano]=Tabela1[[#This Row],[Ano]]),N([Mês]=Tabela1[[#This Row],[Mês]]),N([Quantidade]&lt;0),N([Tipo]="Ação"),ABS([Líquido])),0)</f>
        <v>3095.6400000000003</v>
      </c>
    </row>
    <row r="41" spans="1:22">
      <c r="A41" s="24">
        <v>1</v>
      </c>
      <c r="B41" s="24" t="str">
        <f>CONCATENATE(Tabela1[[#This Row],[Papel]],"_",Tabela1[[#This Row],[Trade]])</f>
        <v>JBSS3_1</v>
      </c>
      <c r="C41" s="25">
        <v>40890</v>
      </c>
      <c r="D41" s="25">
        <f>WORKDAY(Tabela1[[#This Row],[Data]],IF(Tabela1[[#This Row],[Tipo]]="Opção",1,3))</f>
        <v>40893</v>
      </c>
      <c r="E41" s="26">
        <f>DAY(Tabela1[[#This Row],[Data Liquidação]])</f>
        <v>16</v>
      </c>
      <c r="F41" s="22">
        <f>MONTH([Data Liquidação])</f>
        <v>12</v>
      </c>
      <c r="G41" s="26">
        <f>YEAR(Tabela1[[#This Row],[Data Liquidação]])</f>
        <v>2011</v>
      </c>
      <c r="H41" s="22" t="s">
        <v>32</v>
      </c>
      <c r="I41" s="27" t="s">
        <v>45</v>
      </c>
      <c r="J41" s="27" t="s">
        <v>48</v>
      </c>
      <c r="K41" s="28">
        <v>200</v>
      </c>
      <c r="L41" s="29">
        <v>-1146.17</v>
      </c>
      <c r="M41" s="27">
        <f>IF([Quantidade]&lt;&gt;0,ABS([Líquido])/ABS([Quantidade]),0)</f>
        <v>5.7308500000000002</v>
      </c>
      <c r="N41" s="30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1" s="23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1" s="23"/>
      <c r="Q41" s="23"/>
      <c r="R41" s="23">
        <f>Tabela1[[#This Row],[Resultado]]+Tabela1[[#This Row],[IRFF]]+Tabela1[[#This Row],[Outras Bovespa]]</f>
        <v>0</v>
      </c>
      <c r="S41" s="24" t="str">
        <f>IF([Quantidade]=0,"D","N")</f>
        <v>N</v>
      </c>
      <c r="T41" s="23">
        <f>IF([Tipo]="Ação",SUMPRODUCT(N([Ano]=Tabela1[[#This Row],[Ano]]),N([Mês]=Tabela1[[#This Row],[Mês]]),N([Quantidade]&lt;0),N([Tipo]="Ação"),ABS([Líquido])),0)</f>
        <v>3095.6400000000003</v>
      </c>
    </row>
    <row r="42" spans="1:22">
      <c r="A42" s="31">
        <v>1</v>
      </c>
      <c r="B42" s="31" t="str">
        <f>CONCATENATE(Tabela1[[#This Row],[Papel]],"_",Tabela1[[#This Row],[Trade]])</f>
        <v>JBSS3_1</v>
      </c>
      <c r="C42" s="25">
        <v>40890</v>
      </c>
      <c r="D42" s="32">
        <f>WORKDAY(Tabela1[[#This Row],[Data]],IF(Tabela1[[#This Row],[Tipo]]="Opção",1,3))</f>
        <v>40893</v>
      </c>
      <c r="E42" s="33">
        <f>DAY(Tabela1[[#This Row],[Data Liquidação]])</f>
        <v>16</v>
      </c>
      <c r="F42" s="34">
        <f>MONTH([Data Liquidação])</f>
        <v>12</v>
      </c>
      <c r="G42" s="33">
        <f>YEAR(Tabela1[[#This Row],[Data Liquidação]])</f>
        <v>2011</v>
      </c>
      <c r="H42" s="34" t="s">
        <v>32</v>
      </c>
      <c r="I42" s="35" t="s">
        <v>45</v>
      </c>
      <c r="J42" s="35" t="s">
        <v>48</v>
      </c>
      <c r="K42" s="36">
        <v>0</v>
      </c>
      <c r="L42" s="37">
        <v>-36.1</v>
      </c>
      <c r="M42" s="35">
        <f>IF([Quantidade]&lt;&gt;0,ABS([Líquido])/ABS([Quantidade]),0)</f>
        <v>0</v>
      </c>
      <c r="N42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2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-36.1</v>
      </c>
      <c r="P42" s="39"/>
      <c r="Q42" s="39">
        <v>1.1599999999999999</v>
      </c>
      <c r="R42" s="39">
        <f>Tabela1[[#This Row],[Resultado]]+Tabela1[[#This Row],[IRFF]]+Tabela1[[#This Row],[Outras Bovespa]]</f>
        <v>-34.940000000000005</v>
      </c>
      <c r="S42" s="31" t="str">
        <f>IF([Quantidade]=0,"D","N")</f>
        <v>D</v>
      </c>
      <c r="T42" s="39">
        <f>IF([Tipo]="Ação",SUMPRODUCT(N([Ano]=Tabela1[[#This Row],[Ano]]),N([Mês]=Tabela1[[#This Row],[Mês]]),N([Quantidade]&lt;0),N([Tipo]="Ação"),ABS([Líquido])),0)</f>
        <v>3095.6400000000003</v>
      </c>
    </row>
    <row r="43" spans="1:22">
      <c r="A43" s="31">
        <v>1</v>
      </c>
      <c r="B43" s="31" t="str">
        <f>CONCATENATE(Tabela1[[#This Row],[Papel]],"_",Tabela1[[#This Row],[Trade]])</f>
        <v>GFSA3_1</v>
      </c>
      <c r="C43" s="32">
        <v>40897</v>
      </c>
      <c r="D43" s="32">
        <f>WORKDAY(Tabela1[[#This Row],[Data]],IF(Tabela1[[#This Row],[Tipo]]="Opção",1,3))</f>
        <v>40900</v>
      </c>
      <c r="E43" s="33">
        <f>DAY(Tabela1[[#This Row],[Data Liquidação]])</f>
        <v>23</v>
      </c>
      <c r="F43" s="34">
        <f>MONTH([Data Liquidação])</f>
        <v>12</v>
      </c>
      <c r="G43" s="33">
        <f>YEAR(Tabela1[[#This Row],[Data Liquidação]])</f>
        <v>2011</v>
      </c>
      <c r="H43" s="34" t="s">
        <v>32</v>
      </c>
      <c r="I43" s="35" t="s">
        <v>46</v>
      </c>
      <c r="J43" s="35" t="s">
        <v>49</v>
      </c>
      <c r="K43" s="36">
        <v>-200</v>
      </c>
      <c r="L43" s="37">
        <v>837.95</v>
      </c>
      <c r="M43" s="35">
        <f>IF([Quantidade]&lt;&gt;0,ABS([Líquido])/ABS([Quantidade]),0)</f>
        <v>4.1897500000000001</v>
      </c>
      <c r="N43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3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3" s="39"/>
      <c r="Q43" s="39"/>
      <c r="R43" s="39">
        <f>Tabela1[[#This Row],[Resultado]]+Tabela1[[#This Row],[IRFF]]+Tabela1[[#This Row],[Outras Bovespa]]</f>
        <v>0</v>
      </c>
      <c r="S43" s="31" t="str">
        <f>IF([Quantidade]=0,"D","N")</f>
        <v>N</v>
      </c>
      <c r="T43" s="39">
        <f>IF([Tipo]="Ação",SUMPRODUCT(N([Ano]=Tabela1[[#This Row],[Ano]]),N([Mês]=Tabela1[[#This Row],[Mês]]),N([Quantidade]&lt;0),N([Tipo]="Ação"),ABS([Líquido])),0)</f>
        <v>3095.6400000000003</v>
      </c>
    </row>
    <row r="44" spans="1:22">
      <c r="A44" s="31">
        <v>1</v>
      </c>
      <c r="B44" s="31" t="str">
        <f>CONCATENATE(Tabela1[[#This Row],[Papel]],"_",Tabela1[[#This Row],[Trade]])</f>
        <v>KLBN4_1</v>
      </c>
      <c r="C44" s="32">
        <v>40900</v>
      </c>
      <c r="D44" s="32">
        <f>WORKDAY(Tabela1[[#This Row],[Data]],IF(Tabela1[[#This Row],[Tipo]]="Opção",1,3))</f>
        <v>40905</v>
      </c>
      <c r="E44" s="33">
        <f>DAY(Tabela1[[#This Row],[Data Liquidação]])</f>
        <v>28</v>
      </c>
      <c r="F44" s="34">
        <f>MONTH([Data Liquidação])</f>
        <v>12</v>
      </c>
      <c r="G44" s="33">
        <f>YEAR(Tabela1[[#This Row],[Data Liquidação]])</f>
        <v>2011</v>
      </c>
      <c r="H44" s="34" t="s">
        <v>32</v>
      </c>
      <c r="I44" s="35" t="s">
        <v>50</v>
      </c>
      <c r="J44" s="40" t="s">
        <v>48</v>
      </c>
      <c r="K44" s="31">
        <v>300</v>
      </c>
      <c r="L44" s="37">
        <v>-2374.5700000000002</v>
      </c>
      <c r="M44" s="35">
        <f>IF([Quantidade]&lt;&gt;0,ABS([Líquido])/ABS([Quantidade]),0)</f>
        <v>7.915233333333334</v>
      </c>
      <c r="N44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4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4" s="39"/>
      <c r="Q44" s="39"/>
      <c r="R44" s="39">
        <f>Tabela1[[#This Row],[Resultado]]+Tabela1[[#This Row],[IRFF]]+Tabela1[[#This Row],[Outras Bovespa]]</f>
        <v>0</v>
      </c>
      <c r="S44" s="31" t="str">
        <f>IF([Quantidade]=0,"D","N")</f>
        <v>N</v>
      </c>
      <c r="T44" s="39">
        <f>IF([Tipo]="Ação",SUMPRODUCT(N([Ano]=Tabela1[[#This Row],[Ano]]),N([Mês]=Tabela1[[#This Row],[Mês]]),N([Quantidade]&lt;0),N([Tipo]="Ação"),ABS([Líquido])),0)</f>
        <v>3095.6400000000003</v>
      </c>
    </row>
    <row r="45" spans="1:22">
      <c r="A45" s="31">
        <v>1</v>
      </c>
      <c r="B45" s="31" t="str">
        <f>CONCATENATE(Tabela1[[#This Row],[Papel]],"_",Tabela1[[#This Row],[Trade]])</f>
        <v>JBSS3_1</v>
      </c>
      <c r="C45" s="32">
        <v>40903</v>
      </c>
      <c r="D45" s="32">
        <f>WORKDAY(Tabela1[[#This Row],[Data]],IF(Tabela1[[#This Row],[Tipo]]="Opção",1,3))</f>
        <v>40906</v>
      </c>
      <c r="E45" s="33">
        <f>DAY(Tabela1[[#This Row],[Data Liquidação]])</f>
        <v>29</v>
      </c>
      <c r="F45" s="34">
        <f>MONTH([Data Liquidação])</f>
        <v>12</v>
      </c>
      <c r="G45" s="33">
        <f>YEAR(Tabela1[[#This Row],[Data Liquidação]])</f>
        <v>2011</v>
      </c>
      <c r="H45" s="34" t="s">
        <v>32</v>
      </c>
      <c r="I45" s="35" t="s">
        <v>45</v>
      </c>
      <c r="J45" s="40" t="s">
        <v>48</v>
      </c>
      <c r="K45" s="31">
        <v>-100</v>
      </c>
      <c r="L45" s="37">
        <v>674.01</v>
      </c>
      <c r="M45" s="35">
        <f>IF([Quantidade]&lt;&gt;0,ABS([Líquido])/ABS([Quantidade]),0)</f>
        <v>6.7401</v>
      </c>
      <c r="N45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5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100.92499999999998</v>
      </c>
      <c r="P45" s="39"/>
      <c r="Q45" s="39"/>
      <c r="R45" s="39">
        <f>Tabela1[[#This Row],[Resultado]]+Tabela1[[#This Row],[IRFF]]+Tabela1[[#This Row],[Outras Bovespa]]</f>
        <v>100.92499999999998</v>
      </c>
      <c r="S45" s="31" t="str">
        <f>IF([Quantidade]=0,"D","N")</f>
        <v>N</v>
      </c>
      <c r="T45" s="39">
        <f>IF([Tipo]="Ação",SUMPRODUCT(N([Ano]=Tabela1[[#This Row],[Ano]]),N([Mês]=Tabela1[[#This Row],[Mês]]),N([Quantidade]&lt;0),N([Tipo]="Ação"),ABS([Líquido])),0)</f>
        <v>3095.6400000000003</v>
      </c>
    </row>
    <row r="46" spans="1:22">
      <c r="A46" s="31">
        <v>1</v>
      </c>
      <c r="B46" s="31" t="str">
        <f>CONCATENATE(Tabela1[[#This Row],[Papel]],"_",Tabela1[[#This Row],[Trade]])</f>
        <v>JBSS3_1</v>
      </c>
      <c r="C46" s="32">
        <v>40910</v>
      </c>
      <c r="D46" s="32">
        <f>WORKDAY(Tabela1[[#This Row],[Data]],IF(Tabela1[[#This Row],[Tipo]]="Opção",1,3))</f>
        <v>40913</v>
      </c>
      <c r="E46" s="33">
        <f>DAY(Tabela1[[#This Row],[Data Liquidação]])</f>
        <v>5</v>
      </c>
      <c r="F46" s="34">
        <f>MONTH([Data Liquidação])</f>
        <v>1</v>
      </c>
      <c r="G46" s="33">
        <f>YEAR(Tabela1[[#This Row],[Data Liquidação]])</f>
        <v>2012</v>
      </c>
      <c r="H46" s="34" t="s">
        <v>32</v>
      </c>
      <c r="I46" s="35" t="s">
        <v>45</v>
      </c>
      <c r="J46" s="40" t="s">
        <v>48</v>
      </c>
      <c r="K46" s="31">
        <v>-100</v>
      </c>
      <c r="L46" s="37">
        <v>567.03</v>
      </c>
      <c r="M46" s="35">
        <f>IF([Quantidade]&lt;&gt;0,ABS([Líquido])/ABS([Quantidade]),0)</f>
        <v>5.6703000000000001</v>
      </c>
      <c r="N46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6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-6.0550000000000104</v>
      </c>
      <c r="P46" s="39"/>
      <c r="Q46" s="39"/>
      <c r="R46" s="39">
        <f>Tabela1[[#This Row],[Resultado]]+Tabela1[[#This Row],[IRFF]]+Tabela1[[#This Row],[Outras Bovespa]]</f>
        <v>-6.0550000000000104</v>
      </c>
      <c r="S46" s="31" t="str">
        <f>IF([Quantidade]=0,"D","N")</f>
        <v>N</v>
      </c>
      <c r="T46" s="39">
        <f>IF([Tipo]="Ação",SUMPRODUCT(N([Ano]=Tabela1[[#This Row],[Ano]]),N([Mês]=Tabela1[[#This Row],[Mês]]),N([Quantidade]&lt;0),N([Tipo]="Ação"),ABS([Líquido])),0)</f>
        <v>5131.1400000000003</v>
      </c>
    </row>
    <row r="47" spans="1:22">
      <c r="A47" s="31">
        <v>2</v>
      </c>
      <c r="B47" s="31" t="str">
        <f>CONCATENATE(Tabela1[[#This Row],[Papel]],"_",Tabela1[[#This Row],[Trade]])</f>
        <v>JBSS3_2</v>
      </c>
      <c r="C47" s="32">
        <v>40911</v>
      </c>
      <c r="D47" s="32">
        <f>WORKDAY(Tabela1[[#This Row],[Data]],IF(Tabela1[[#This Row],[Tipo]]="Opção",1,3))</f>
        <v>40914</v>
      </c>
      <c r="E47" s="33">
        <f>DAY(Tabela1[[#This Row],[Data Liquidação]])</f>
        <v>6</v>
      </c>
      <c r="F47" s="34">
        <f>MONTH([Data Liquidação])</f>
        <v>1</v>
      </c>
      <c r="G47" s="33">
        <f>YEAR(Tabela1[[#This Row],[Data Liquidação]])</f>
        <v>2012</v>
      </c>
      <c r="H47" s="34" t="s">
        <v>32</v>
      </c>
      <c r="I47" s="35" t="s">
        <v>45</v>
      </c>
      <c r="J47" s="40" t="s">
        <v>48</v>
      </c>
      <c r="K47" s="31">
        <v>200</v>
      </c>
      <c r="L47" s="37">
        <v>-1176.1600000000001</v>
      </c>
      <c r="M47" s="35">
        <f>IF([Quantidade]&lt;&gt;0,ABS([Líquido])/ABS([Quantidade]),0)</f>
        <v>5.8808000000000007</v>
      </c>
      <c r="N47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7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7" s="39"/>
      <c r="Q47" s="39"/>
      <c r="R47" s="39">
        <f>Tabela1[[#This Row],[Resultado]]+Tabela1[[#This Row],[IRFF]]+Tabela1[[#This Row],[Outras Bovespa]]</f>
        <v>0</v>
      </c>
      <c r="S47" s="31" t="str">
        <f>IF([Quantidade]=0,"D","N")</f>
        <v>N</v>
      </c>
      <c r="T47" s="39">
        <f>IF([Tipo]="Ação",SUMPRODUCT(N([Ano]=Tabela1[[#This Row],[Ano]]),N([Mês]=Tabela1[[#This Row],[Mês]]),N([Quantidade]&lt;0),N([Tipo]="Ação"),ABS([Líquido])),0)</f>
        <v>5131.1400000000003</v>
      </c>
    </row>
    <row r="48" spans="1:22">
      <c r="A48" s="31">
        <v>2</v>
      </c>
      <c r="B48" s="31" t="str">
        <f>CONCATENATE(Tabela1[[#This Row],[Papel]],"_",Tabela1[[#This Row],[Trade]])</f>
        <v>JBSS3_2</v>
      </c>
      <c r="C48" s="32">
        <v>40920</v>
      </c>
      <c r="D48" s="32">
        <f>WORKDAY(Tabela1[[#This Row],[Data]],IF(Tabela1[[#This Row],[Tipo]]="Opção",1,3))</f>
        <v>40925</v>
      </c>
      <c r="E48" s="33">
        <f>DAY(Tabela1[[#This Row],[Data Liquidação]])</f>
        <v>17</v>
      </c>
      <c r="F48" s="34">
        <f>MONTH([Data Liquidação])</f>
        <v>1</v>
      </c>
      <c r="G48" s="33">
        <f>YEAR(Tabela1[[#This Row],[Data Liquidação]])</f>
        <v>2012</v>
      </c>
      <c r="H48" s="34" t="s">
        <v>32</v>
      </c>
      <c r="I48" s="35" t="s">
        <v>45</v>
      </c>
      <c r="J48" s="40" t="s">
        <v>48</v>
      </c>
      <c r="K48" s="31">
        <v>-200</v>
      </c>
      <c r="L48" s="37">
        <v>1095.57</v>
      </c>
      <c r="M48" s="35">
        <f>IF([Quantidade]&lt;&gt;0,ABS([Líquido])/ABS([Quantidade]),0)</f>
        <v>5.4778500000000001</v>
      </c>
      <c r="N48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5.8808000000000007</v>
      </c>
      <c r="O48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-80.590000000000117</v>
      </c>
      <c r="P48" s="39"/>
      <c r="Q48" s="39"/>
      <c r="R48" s="39">
        <f>Tabela1[[#This Row],[Resultado]]+Tabela1[[#This Row],[IRFF]]+Tabela1[[#This Row],[Outras Bovespa]]</f>
        <v>-80.590000000000117</v>
      </c>
      <c r="S48" s="31" t="str">
        <f>IF([Quantidade]=0,"D","N")</f>
        <v>N</v>
      </c>
      <c r="T48" s="39">
        <f>IF([Tipo]="Ação",SUMPRODUCT(N([Ano]=Tabela1[[#This Row],[Ano]]),N([Mês]=Tabela1[[#This Row],[Mês]]),N([Quantidade]&lt;0),N([Tipo]="Ação"),ABS([Líquido])),0)</f>
        <v>5131.1400000000003</v>
      </c>
    </row>
    <row r="49" spans="1:20">
      <c r="A49" s="31">
        <v>1</v>
      </c>
      <c r="B49" s="31" t="str">
        <f>CONCATENATE(Tabela1[[#This Row],[Papel]],"_",Tabela1[[#This Row],[Trade]])</f>
        <v>RSID3_1</v>
      </c>
      <c r="C49" s="32">
        <v>40920</v>
      </c>
      <c r="D49" s="32">
        <f>WORKDAY(Tabela1[[#This Row],[Data]],IF(Tabela1[[#This Row],[Tipo]]="Opção",1,3))</f>
        <v>40925</v>
      </c>
      <c r="E49" s="33">
        <f>DAY(Tabela1[[#This Row],[Data Liquidação]])</f>
        <v>17</v>
      </c>
      <c r="F49" s="34">
        <f>MONTH([Data Liquidação])</f>
        <v>1</v>
      </c>
      <c r="G49" s="33">
        <f>YEAR(Tabela1[[#This Row],[Data Liquidação]])</f>
        <v>2012</v>
      </c>
      <c r="H49" s="34" t="s">
        <v>32</v>
      </c>
      <c r="I49" s="35" t="s">
        <v>51</v>
      </c>
      <c r="J49" s="40" t="s">
        <v>49</v>
      </c>
      <c r="K49" s="31">
        <v>-300</v>
      </c>
      <c r="L49" s="37">
        <v>2695.57</v>
      </c>
      <c r="M49" s="35">
        <f>IF([Quantidade]&lt;&gt;0,ABS([Líquido])/ABS([Quantidade]),0)</f>
        <v>8.9852333333333334</v>
      </c>
      <c r="N49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9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49" s="39"/>
      <c r="Q49" s="39"/>
      <c r="R49" s="39">
        <f>Tabela1[[#This Row],[Resultado]]+Tabela1[[#This Row],[IRFF]]+Tabela1[[#This Row],[Outras Bovespa]]</f>
        <v>0</v>
      </c>
      <c r="S49" s="31" t="str">
        <f>IF([Quantidade]=0,"D","N")</f>
        <v>N</v>
      </c>
      <c r="T49" s="39">
        <f>IF([Tipo]="Ação",SUMPRODUCT(N([Ano]=Tabela1[[#This Row],[Ano]]),N([Mês]=Tabela1[[#This Row],[Mês]]),N([Quantidade]&lt;0),N([Tipo]="Ação"),ABS([Líquido])),0)</f>
        <v>5131.1400000000003</v>
      </c>
    </row>
    <row r="50" spans="1:20">
      <c r="A50" s="31">
        <v>1</v>
      </c>
      <c r="B50" s="31" t="str">
        <f>CONCATENATE(Tabela1[[#This Row],[Papel]],"_",Tabela1[[#This Row],[Trade]])</f>
        <v>MNDL4_1</v>
      </c>
      <c r="C50" s="32">
        <v>40927</v>
      </c>
      <c r="D50" s="32">
        <f>WORKDAY(Tabela1[[#This Row],[Data]],IF(Tabela1[[#This Row],[Tipo]]="Opção",1,3))</f>
        <v>40932</v>
      </c>
      <c r="E50" s="33">
        <f>DAY(Tabela1[[#This Row],[Data Liquidação]])</f>
        <v>24</v>
      </c>
      <c r="F50" s="34">
        <f>MONTH([Data Liquidação])</f>
        <v>1</v>
      </c>
      <c r="G50" s="33">
        <f>YEAR(Tabela1[[#This Row],[Data Liquidação]])</f>
        <v>2012</v>
      </c>
      <c r="H50" s="34" t="s">
        <v>32</v>
      </c>
      <c r="I50" s="35" t="s">
        <v>52</v>
      </c>
      <c r="J50" s="40" t="s">
        <v>48</v>
      </c>
      <c r="K50" s="31">
        <v>2000</v>
      </c>
      <c r="L50" s="37">
        <v>-1016.11</v>
      </c>
      <c r="M50" s="35">
        <f>IF([Quantidade]&lt;&gt;0,ABS([Líquido])/ABS([Quantidade]),0)</f>
        <v>0.50805500000000003</v>
      </c>
      <c r="N50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0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50" s="39"/>
      <c r="Q50" s="39"/>
      <c r="R50" s="39">
        <f>Tabela1[[#This Row],[Resultado]]+Tabela1[[#This Row],[IRFF]]+Tabela1[[#This Row],[Outras Bovespa]]</f>
        <v>0</v>
      </c>
      <c r="S50" s="31" t="str">
        <f>IF([Quantidade]=0,"D","N")</f>
        <v>N</v>
      </c>
      <c r="T50" s="39">
        <f>IF([Tipo]="Ação",SUMPRODUCT(N([Ano]=Tabela1[[#This Row],[Ano]]),N([Mês]=Tabela1[[#This Row],[Mês]]),N([Quantidade]&lt;0),N([Tipo]="Ação"),ABS([Líquido])),0)</f>
        <v>5131.1400000000003</v>
      </c>
    </row>
    <row r="51" spans="1:20">
      <c r="A51" s="31">
        <v>1</v>
      </c>
      <c r="B51" s="31" t="str">
        <f>CONCATENATE(Tabela1[[#This Row],[Papel]],"_",Tabela1[[#This Row],[Trade]])</f>
        <v>MRFG3_1</v>
      </c>
      <c r="C51" s="32">
        <v>40932</v>
      </c>
      <c r="D51" s="32">
        <f>WORKDAY(Tabela1[[#This Row],[Data]],IF(Tabela1[[#This Row],[Tipo]]="Opção",1,3))</f>
        <v>40935</v>
      </c>
      <c r="E51" s="33">
        <f>DAY(Tabela1[[#This Row],[Data Liquidação]])</f>
        <v>27</v>
      </c>
      <c r="F51" s="34">
        <f>MONTH([Data Liquidação])</f>
        <v>1</v>
      </c>
      <c r="G51" s="33">
        <f>YEAR(Tabela1[[#This Row],[Data Liquidação]])</f>
        <v>2012</v>
      </c>
      <c r="H51" s="34" t="s">
        <v>32</v>
      </c>
      <c r="I51" s="35" t="s">
        <v>44</v>
      </c>
      <c r="J51" s="40" t="s">
        <v>48</v>
      </c>
      <c r="K51" s="31">
        <v>-100</v>
      </c>
      <c r="L51" s="37">
        <v>772.97</v>
      </c>
      <c r="M51" s="35">
        <f>IF([Quantidade]&lt;&gt;0,ABS([Líquido])/ABS([Quantidade]),0)</f>
        <v>7.7297000000000002</v>
      </c>
      <c r="N51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8.6105</v>
      </c>
      <c r="O51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-88.079999999999984</v>
      </c>
      <c r="P51" s="39"/>
      <c r="Q51" s="39"/>
      <c r="R51" s="39">
        <f>Tabela1[[#This Row],[Resultado]]+Tabela1[[#This Row],[IRFF]]+Tabela1[[#This Row],[Outras Bovespa]]</f>
        <v>-88.079999999999984</v>
      </c>
      <c r="S51" s="31" t="str">
        <f>IF([Quantidade]=0,"D","N")</f>
        <v>N</v>
      </c>
      <c r="T51" s="39">
        <f>IF([Tipo]="Ação",SUMPRODUCT(N([Ano]=Tabela1[[#This Row],[Ano]]),N([Mês]=Tabela1[[#This Row],[Mês]]),N([Quantidade]&lt;0),N([Tipo]="Ação"),ABS([Líquido])),0)</f>
        <v>5131.1400000000003</v>
      </c>
    </row>
    <row r="52" spans="1:20">
      <c r="A52" s="31">
        <v>1</v>
      </c>
      <c r="B52" s="31" t="str">
        <f>CONCATENATE(Tabela1[[#This Row],[Papel]],"_",Tabela1[[#This Row],[Trade]])</f>
        <v>AGEN11_1</v>
      </c>
      <c r="C52" s="32">
        <v>40934</v>
      </c>
      <c r="D52" s="32">
        <f>WORKDAY(Tabela1[[#This Row],[Data]],IF(Tabela1[[#This Row],[Tipo]]="Opção",1,3))</f>
        <v>40939</v>
      </c>
      <c r="E52" s="33">
        <f>DAY(Tabela1[[#This Row],[Data Liquidação]])</f>
        <v>31</v>
      </c>
      <c r="F52" s="34">
        <f>MONTH([Data Liquidação])</f>
        <v>1</v>
      </c>
      <c r="G52" s="33">
        <f>YEAR(Tabela1[[#This Row],[Data Liquidação]])</f>
        <v>2012</v>
      </c>
      <c r="H52" s="34" t="s">
        <v>32</v>
      </c>
      <c r="I52" s="35" t="s">
        <v>53</v>
      </c>
      <c r="J52" s="40" t="s">
        <v>48</v>
      </c>
      <c r="K52" s="31">
        <v>2300</v>
      </c>
      <c r="L52" s="37">
        <v>-1005.42</v>
      </c>
      <c r="M52" s="35">
        <f>IF([Quantidade]&lt;&gt;0,ABS([Líquido])/ABS([Quantidade]),0)</f>
        <v>0.43713913043478259</v>
      </c>
      <c r="N52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2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52" s="39"/>
      <c r="Q52" s="39"/>
      <c r="R52" s="39">
        <f>Tabela1[[#This Row],[Resultado]]+Tabela1[[#This Row],[IRFF]]+Tabela1[[#This Row],[Outras Bovespa]]</f>
        <v>0</v>
      </c>
      <c r="S52" s="31" t="str">
        <f>IF([Quantidade]=0,"D","N")</f>
        <v>N</v>
      </c>
      <c r="T52" s="39">
        <f>IF([Tipo]="Ação",SUMPRODUCT(N([Ano]=Tabela1[[#This Row],[Ano]]),N([Mês]=Tabela1[[#This Row],[Mês]]),N([Quantidade]&lt;0),N([Tipo]="Ação"),ABS([Líquido])),0)</f>
        <v>5131.1400000000003</v>
      </c>
    </row>
    <row r="53" spans="1:20">
      <c r="A53" s="31">
        <v>1</v>
      </c>
      <c r="B53" s="31" t="str">
        <f>CONCATENATE(Tabela1[[#This Row],[Papel]],"_",Tabela1[[#This Row],[Trade]])</f>
        <v>RSID3_1</v>
      </c>
      <c r="C53" s="32">
        <v>40934</v>
      </c>
      <c r="D53" s="32">
        <f>WORKDAY(Tabela1[[#This Row],[Data]],IF(Tabela1[[#This Row],[Tipo]]="Opção",1,3))</f>
        <v>40939</v>
      </c>
      <c r="E53" s="33">
        <f>DAY(Tabela1[[#This Row],[Data Liquidação]])</f>
        <v>31</v>
      </c>
      <c r="F53" s="34">
        <f>MONTH([Data Liquidação])</f>
        <v>1</v>
      </c>
      <c r="G53" s="33">
        <f>YEAR(Tabela1[[#This Row],[Data Liquidação]])</f>
        <v>2012</v>
      </c>
      <c r="H53" s="34" t="s">
        <v>32</v>
      </c>
      <c r="I53" s="35" t="s">
        <v>51</v>
      </c>
      <c r="J53" s="40" t="s">
        <v>49</v>
      </c>
      <c r="K53" s="31">
        <v>300</v>
      </c>
      <c r="L53" s="37">
        <v>-2845.43</v>
      </c>
      <c r="M53" s="35">
        <f>IF([Quantidade]&lt;&gt;0,ABS([Líquido])/ABS([Quantidade]),0)</f>
        <v>9.4847666666666655</v>
      </c>
      <c r="N53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8.9852333333333334</v>
      </c>
      <c r="O53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-149.85999999999962</v>
      </c>
      <c r="P53" s="39"/>
      <c r="Q53" s="39"/>
      <c r="R53" s="39">
        <f>Tabela1[[#This Row],[Resultado]]+Tabela1[[#This Row],[IRFF]]+Tabela1[[#This Row],[Outras Bovespa]]</f>
        <v>-149.85999999999962</v>
      </c>
      <c r="S53" s="31" t="str">
        <f>IF([Quantidade]=0,"D","N")</f>
        <v>N</v>
      </c>
      <c r="T53" s="39">
        <f>IF([Tipo]="Ação",SUMPRODUCT(N([Ano]=Tabela1[[#This Row],[Ano]]),N([Mês]=Tabela1[[#This Row],[Mês]]),N([Quantidade]&lt;0),N([Tipo]="Ação"),ABS([Líquido])),0)</f>
        <v>5131.1400000000003</v>
      </c>
    </row>
    <row r="54" spans="1:20">
      <c r="A54" s="31">
        <v>1</v>
      </c>
      <c r="B54" s="31" t="str">
        <f>CONCATENATE(Tabela1[[#This Row],[Papel]],"_",Tabela1[[#This Row],[Trade]])</f>
        <v>GFSA3_1</v>
      </c>
      <c r="C54" s="32">
        <v>40939</v>
      </c>
      <c r="D54" s="32">
        <f>WORKDAY(Tabela1[[#This Row],[Data]],IF(Tabela1[[#This Row],[Tipo]]="Opção",1,3))</f>
        <v>40942</v>
      </c>
      <c r="E54" s="33">
        <f>DAY(Tabela1[[#This Row],[Data Liquidação]])</f>
        <v>3</v>
      </c>
      <c r="F54" s="34">
        <f>MONTH([Data Liquidação])</f>
        <v>2</v>
      </c>
      <c r="G54" s="33">
        <f>YEAR(Tabela1[[#This Row],[Data Liquidação]])</f>
        <v>2012</v>
      </c>
      <c r="H54" s="34" t="s">
        <v>32</v>
      </c>
      <c r="I54" s="35" t="s">
        <v>46</v>
      </c>
      <c r="J54" s="40" t="s">
        <v>49</v>
      </c>
      <c r="K54" s="31">
        <v>200</v>
      </c>
      <c r="L54" s="37">
        <v>-968.09</v>
      </c>
      <c r="M54" s="35">
        <f>IF([Quantidade]&lt;&gt;0,ABS([Líquido])/ABS([Quantidade]),0)</f>
        <v>4.8404500000000006</v>
      </c>
      <c r="N54" s="38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4.1897500000000001</v>
      </c>
      <c r="O54" s="39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-130.1400000000001</v>
      </c>
      <c r="P54" s="39"/>
      <c r="Q54" s="39"/>
      <c r="R54" s="39">
        <f>Tabela1[[#This Row],[Resultado]]+Tabela1[[#This Row],[IRFF]]+Tabela1[[#This Row],[Outras Bovespa]]</f>
        <v>-130.1400000000001</v>
      </c>
      <c r="S54" s="31" t="str">
        <f>IF([Quantidade]=0,"D","N")</f>
        <v>N</v>
      </c>
      <c r="T54" s="39">
        <f>IF([Tipo]="Ação",SUMPRODUCT(N([Ano]=Tabela1[[#This Row],[Ano]]),N([Mês]=Tabela1[[#This Row],[Mês]]),N([Quantidade]&lt;0),N([Tipo]="Ação"),ABS([Líquido])),0)</f>
        <v>3053.85</v>
      </c>
    </row>
    <row r="55" spans="1:20">
      <c r="A55" s="10">
        <v>1</v>
      </c>
      <c r="B55" s="10" t="str">
        <f>CONCATENATE(Tabela1[[#This Row],[Papel]],"_",Tabela1[[#This Row],[Trade]])</f>
        <v>AGEN11_1</v>
      </c>
      <c r="C55" s="4">
        <v>40945</v>
      </c>
      <c r="D55" s="4">
        <f>WORKDAY(Tabela1[[#This Row],[Data]],IF(Tabela1[[#This Row],[Tipo]]="Opção",1,3))</f>
        <v>40948</v>
      </c>
      <c r="E55" s="8">
        <f>DAY(Tabela1[[#This Row],[Data Liquidação]])</f>
        <v>9</v>
      </c>
      <c r="F55" s="5">
        <f>MONTH([Data Liquidação])</f>
        <v>2</v>
      </c>
      <c r="G55" s="8">
        <f>YEAR(Tabela1[[#This Row],[Data Liquidação]])</f>
        <v>2012</v>
      </c>
      <c r="H55" s="5" t="s">
        <v>32</v>
      </c>
      <c r="I55" s="14" t="s">
        <v>53</v>
      </c>
      <c r="J55" s="18" t="s">
        <v>48</v>
      </c>
      <c r="K55" s="10">
        <v>3700</v>
      </c>
      <c r="L55" s="6">
        <v>-1385.33</v>
      </c>
      <c r="M55" s="14">
        <f>IF([Quantidade]&lt;&gt;0,ABS([Líquido])/ABS([Quantidade]),0)</f>
        <v>0.37441351351351349</v>
      </c>
      <c r="N5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0.43713913043478259</v>
      </c>
      <c r="O5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55" s="12"/>
      <c r="Q55" s="12"/>
      <c r="R55" s="12">
        <f>Tabela1[[#This Row],[Resultado]]+Tabela1[[#This Row],[IRFF]]+Tabela1[[#This Row],[Outras Bovespa]]</f>
        <v>0</v>
      </c>
      <c r="S55" s="10" t="str">
        <f>IF([Quantidade]=0,"D","N")</f>
        <v>N</v>
      </c>
      <c r="T55" s="12">
        <f>IF([Tipo]="Ação",SUMPRODUCT(N([Ano]=Tabela1[[#This Row],[Ano]]),N([Mês]=Tabela1[[#This Row],[Mês]]),N([Quantidade]&lt;0),N([Tipo]="Ação"),ABS([Líquido])),0)</f>
        <v>3053.85</v>
      </c>
    </row>
    <row r="56" spans="1:20">
      <c r="A56" s="7">
        <v>1</v>
      </c>
      <c r="B56" s="7" t="str">
        <f>CONCATENATE(Tabela1[[#This Row],[Papel]],"_",Tabela1[[#This Row],[Trade]])</f>
        <v>INEP4_1</v>
      </c>
      <c r="C56" s="4">
        <v>40945</v>
      </c>
      <c r="D56" s="2">
        <f>WORKDAY(Tabela1[[#This Row],[Data]],IF(Tabela1[[#This Row],[Tipo]]="Opção",1,3))</f>
        <v>40948</v>
      </c>
      <c r="E56" s="9">
        <f>DAY(Tabela1[[#This Row],[Data Liquidação]])</f>
        <v>9</v>
      </c>
      <c r="F56" s="1">
        <f>MONTH([Data Liquidação])</f>
        <v>2</v>
      </c>
      <c r="G56" s="9">
        <f>YEAR(Tabela1[[#This Row],[Data Liquidação]])</f>
        <v>2012</v>
      </c>
      <c r="H56" s="1" t="s">
        <v>32</v>
      </c>
      <c r="I56" s="13" t="s">
        <v>60</v>
      </c>
      <c r="J56" s="17" t="s">
        <v>48</v>
      </c>
      <c r="K56" s="7">
        <v>500</v>
      </c>
      <c r="L56" s="3">
        <v>-1201.33</v>
      </c>
      <c r="M56" s="13">
        <f>IF([Quantidade]&lt;&gt;0,ABS([Líquido])/ABS([Quantidade]),0)</f>
        <v>2.40266</v>
      </c>
      <c r="N5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56" s="11"/>
      <c r="Q56" s="11"/>
      <c r="R56" s="11">
        <f>Tabela1[[#This Row],[Resultado]]+Tabela1[[#This Row],[IRFF]]+Tabela1[[#This Row],[Outras Bovespa]]</f>
        <v>0</v>
      </c>
      <c r="S56" s="7" t="str">
        <f>IF([Quantidade]=0,"D","N")</f>
        <v>N</v>
      </c>
      <c r="T56" s="11">
        <f>IF([Tipo]="Ação",SUMPRODUCT(N([Ano]=Tabela1[[#This Row],[Ano]]),N([Mês]=Tabela1[[#This Row],[Mês]]),N([Quantidade]&lt;0),N([Tipo]="Ação"),ABS([Líquido])),0)</f>
        <v>3053.85</v>
      </c>
    </row>
    <row r="57" spans="1:20">
      <c r="A57" s="10">
        <v>1</v>
      </c>
      <c r="B57" s="10" t="str">
        <f>CONCATENATE(Tabela1[[#This Row],[Papel]],"_",Tabela1[[#This Row],[Trade]])</f>
        <v>KLBN4_1</v>
      </c>
      <c r="C57" s="4">
        <v>40945</v>
      </c>
      <c r="D57" s="4">
        <f>WORKDAY(Tabela1[[#This Row],[Data]],IF(Tabela1[[#This Row],[Tipo]]="Opção",1,3))</f>
        <v>40948</v>
      </c>
      <c r="E57" s="8">
        <f>DAY(Tabela1[[#This Row],[Data Liquidação]])</f>
        <v>9</v>
      </c>
      <c r="F57" s="5">
        <f>MONTH([Data Liquidação])</f>
        <v>2</v>
      </c>
      <c r="G57" s="8">
        <f>YEAR(Tabela1[[#This Row],[Data Liquidação]])</f>
        <v>2012</v>
      </c>
      <c r="H57" s="5" t="s">
        <v>32</v>
      </c>
      <c r="I57" s="14" t="s">
        <v>50</v>
      </c>
      <c r="J57" s="18" t="s">
        <v>48</v>
      </c>
      <c r="K57" s="10">
        <v>-300</v>
      </c>
      <c r="L57" s="6">
        <v>2293.66</v>
      </c>
      <c r="M57" s="14">
        <f>IF([Quantidade]&lt;&gt;0,ABS([Líquido])/ABS([Quantidade]),0)</f>
        <v>7.6455333333333328</v>
      </c>
      <c r="N5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7.915233333333334</v>
      </c>
      <c r="O5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-80.910000000000352</v>
      </c>
      <c r="P57" s="12"/>
      <c r="Q57" s="12"/>
      <c r="R57" s="12">
        <f>Tabela1[[#This Row],[Resultado]]+Tabela1[[#This Row],[IRFF]]+Tabela1[[#This Row],[Outras Bovespa]]</f>
        <v>-80.910000000000352</v>
      </c>
      <c r="S57" s="10" t="str">
        <f>IF([Quantidade]=0,"D","N")</f>
        <v>N</v>
      </c>
      <c r="T57" s="12">
        <f>IF([Tipo]="Ação",SUMPRODUCT(N([Ano]=Tabela1[[#This Row],[Ano]]),N([Mês]=Tabela1[[#This Row],[Mês]]),N([Quantidade]&lt;0),N([Tipo]="Ação"),ABS([Líquido])),0)</f>
        <v>3053.85</v>
      </c>
    </row>
    <row r="58" spans="1:20">
      <c r="A58" s="7">
        <v>1</v>
      </c>
      <c r="B58" s="7" t="str">
        <f>CONCATENATE(Tabela1[[#This Row],[Papel]],"_",Tabela1[[#This Row],[Trade]])</f>
        <v>INET3_1</v>
      </c>
      <c r="C58" s="2">
        <v>40948</v>
      </c>
      <c r="D58" s="2">
        <f>WORKDAY(Tabela1[[#This Row],[Data]],IF(Tabela1[[#This Row],[Tipo]]="Opção",1,3))</f>
        <v>40953</v>
      </c>
      <c r="E58" s="9">
        <f>DAY(Tabela1[[#This Row],[Data Liquidação]])</f>
        <v>14</v>
      </c>
      <c r="F58" s="1">
        <f>MONTH([Data Liquidação])</f>
        <v>2</v>
      </c>
      <c r="G58" s="9">
        <f>YEAR(Tabela1[[#This Row],[Data Liquidação]])</f>
        <v>2012</v>
      </c>
      <c r="H58" s="1" t="s">
        <v>32</v>
      </c>
      <c r="I58" s="13" t="s">
        <v>61</v>
      </c>
      <c r="J58" s="17" t="s">
        <v>48</v>
      </c>
      <c r="K58" s="7">
        <v>3000</v>
      </c>
      <c r="L58" s="3">
        <v>-615.98</v>
      </c>
      <c r="M58" s="13">
        <f>IF([Quantidade]&lt;&gt;0,ABS([Líquido])/ABS([Quantidade]),0)</f>
        <v>0.20532666666666669</v>
      </c>
      <c r="N58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8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58" s="11"/>
      <c r="Q58" s="11"/>
      <c r="R58" s="11">
        <f>Tabela1[[#This Row],[Resultado]]+Tabela1[[#This Row],[IRFF]]+Tabela1[[#This Row],[Outras Bovespa]]</f>
        <v>0</v>
      </c>
      <c r="S58" s="7" t="str">
        <f>IF([Quantidade]=0,"D","N")</f>
        <v>N</v>
      </c>
      <c r="T58" s="11">
        <f>IF([Tipo]="Ação",SUMPRODUCT(N([Ano]=Tabela1[[#This Row],[Ano]]),N([Mês]=Tabela1[[#This Row],[Mês]]),N([Quantidade]&lt;0),N([Tipo]="Ação"),ABS([Líquido])),0)</f>
        <v>3053.85</v>
      </c>
    </row>
    <row r="59" spans="1:20">
      <c r="A59" s="10">
        <v>1</v>
      </c>
      <c r="B59" s="10" t="str">
        <f>CONCATENATE(Tabela1[[#This Row],[Papel]],"_",Tabela1[[#This Row],[Trade]])</f>
        <v>MNDL4_1</v>
      </c>
      <c r="C59" s="2">
        <v>40948</v>
      </c>
      <c r="D59" s="4">
        <f>WORKDAY(Tabela1[[#This Row],[Data]],IF(Tabela1[[#This Row],[Tipo]]="Opção",1,3))</f>
        <v>40953</v>
      </c>
      <c r="E59" s="8">
        <f>DAY(Tabela1[[#This Row],[Data Liquidação]])</f>
        <v>14</v>
      </c>
      <c r="F59" s="5">
        <f>MONTH([Data Liquidação])</f>
        <v>2</v>
      </c>
      <c r="G59" s="8">
        <f>YEAR(Tabela1[[#This Row],[Data Liquidação]])</f>
        <v>2012</v>
      </c>
      <c r="H59" s="5" t="s">
        <v>32</v>
      </c>
      <c r="I59" s="14" t="s">
        <v>52</v>
      </c>
      <c r="J59" s="18" t="s">
        <v>48</v>
      </c>
      <c r="K59" s="10">
        <v>-1600</v>
      </c>
      <c r="L59" s="6">
        <v>624.01</v>
      </c>
      <c r="M59" s="14">
        <f>IF([Quantidade]&lt;&gt;0,ABS([Líquido])/ABS([Quantidade]),0)</f>
        <v>0.39000625</v>
      </c>
      <c r="N5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5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-188.87800000000004</v>
      </c>
      <c r="P59" s="12"/>
      <c r="Q59" s="12"/>
      <c r="R59" s="12">
        <f>Tabela1[[#This Row],[Resultado]]+Tabela1[[#This Row],[IRFF]]+Tabela1[[#This Row],[Outras Bovespa]]</f>
        <v>-188.87800000000004</v>
      </c>
      <c r="S59" s="10" t="str">
        <f>IF([Quantidade]=0,"D","N")</f>
        <v>N</v>
      </c>
      <c r="T59" s="12">
        <f>IF([Tipo]="Ação",SUMPRODUCT(N([Ano]=Tabela1[[#This Row],[Ano]]),N([Mês]=Tabela1[[#This Row],[Mês]]),N([Quantidade]&lt;0),N([Tipo]="Ação"),ABS([Líquido])),0)</f>
        <v>3053.85</v>
      </c>
    </row>
    <row r="60" spans="1:20">
      <c r="A60" s="10">
        <v>1</v>
      </c>
      <c r="B60" s="10" t="str">
        <f>CONCATENATE(Tabela1[[#This Row],[Papel]],"_",Tabela1[[#This Row],[Trade]])</f>
        <v>MNDL4_1</v>
      </c>
      <c r="C60" s="4">
        <v>40962</v>
      </c>
      <c r="D60" s="4">
        <f>WORKDAY(Tabela1[[#This Row],[Data]],IF(Tabela1[[#This Row],[Tipo]]="Opção",1,3))</f>
        <v>40967</v>
      </c>
      <c r="E60" s="8">
        <f>DAY(Tabela1[[#This Row],[Data Liquidação]])</f>
        <v>28</v>
      </c>
      <c r="F60" s="5">
        <f>MONTH([Data Liquidação])</f>
        <v>2</v>
      </c>
      <c r="G60" s="8">
        <f>YEAR(Tabela1[[#This Row],[Data Liquidação]])</f>
        <v>2012</v>
      </c>
      <c r="H60" s="5" t="s">
        <v>32</v>
      </c>
      <c r="I60" s="14" t="s">
        <v>52</v>
      </c>
      <c r="J60" s="18" t="s">
        <v>48</v>
      </c>
      <c r="K60" s="10">
        <v>-400</v>
      </c>
      <c r="L60" s="6">
        <v>136.18</v>
      </c>
      <c r="M60" s="14">
        <f>IF([Quantidade]&lt;&gt;0,ABS([Líquido])/ABS([Quantidade]),0)</f>
        <v>0.34045000000000003</v>
      </c>
      <c r="N6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-67.042000000000002</v>
      </c>
      <c r="P60" s="12"/>
      <c r="Q60" s="12"/>
      <c r="R60" s="12">
        <f>Tabela1[[#This Row],[Resultado]]+Tabela1[[#This Row],[IRFF]]+Tabela1[[#This Row],[Outras Bovespa]]</f>
        <v>-67.042000000000002</v>
      </c>
      <c r="S60" s="10" t="str">
        <f>IF([Quantidade]=0,"D","N")</f>
        <v>N</v>
      </c>
      <c r="T60" s="12">
        <f>IF([Tipo]="Ação",SUMPRODUCT(N([Ano]=Tabela1[[#This Row],[Ano]]),N([Mês]=Tabela1[[#This Row],[Mês]]),N([Quantidade]&lt;0),N([Tipo]="Ação"),ABS([Líquido])),0)</f>
        <v>3053.85</v>
      </c>
    </row>
    <row r="61" spans="1:20">
      <c r="A61" s="7">
        <v>1</v>
      </c>
      <c r="B61" s="7" t="str">
        <f>CONCATENATE(Tabela1[[#This Row],[Papel]],"_",Tabela1[[#This Row],[Trade]])</f>
        <v>AGEN11_1</v>
      </c>
      <c r="C61" s="2">
        <v>40967</v>
      </c>
      <c r="D61" s="2">
        <f>WORKDAY(Tabela1[[#This Row],[Data]],IF(Tabela1[[#This Row],[Tipo]]="Opção",1,3))</f>
        <v>40970</v>
      </c>
      <c r="E61" s="9">
        <f>DAY(Tabela1[[#This Row],[Data Liquidação]])</f>
        <v>2</v>
      </c>
      <c r="F61" s="1">
        <f>MONTH([Data Liquidação])</f>
        <v>3</v>
      </c>
      <c r="G61" s="9">
        <f>YEAR(Tabela1[[#This Row],[Data Liquidação]])</f>
        <v>2012</v>
      </c>
      <c r="H61" s="1" t="s">
        <v>32</v>
      </c>
      <c r="I61" s="13" t="s">
        <v>53</v>
      </c>
      <c r="J61" s="17" t="s">
        <v>48</v>
      </c>
      <c r="K61" s="7">
        <v>-3000</v>
      </c>
      <c r="L61" s="3">
        <v>794</v>
      </c>
      <c r="M61" s="13">
        <f>IF([Quantidade]&lt;&gt;0,ABS([Líquido])/ABS([Quantidade]),0)</f>
        <v>0.26466666666666666</v>
      </c>
      <c r="N6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-401.37500000000011</v>
      </c>
      <c r="P61" s="11"/>
      <c r="Q61" s="11"/>
      <c r="R61" s="11">
        <f>Tabela1[[#This Row],[Resultado]]+Tabela1[[#This Row],[IRFF]]+Tabela1[[#This Row],[Outras Bovespa]]</f>
        <v>-401.37500000000011</v>
      </c>
      <c r="S61" s="7" t="str">
        <f>IF([Quantidade]=0,"D","N")</f>
        <v>N</v>
      </c>
      <c r="T61" s="11">
        <f>IF([Tipo]="Ação",SUMPRODUCT(N([Ano]=Tabela1[[#This Row],[Ano]]),N([Mês]=Tabela1[[#This Row],[Mês]]),N([Quantidade]&lt;0),N([Tipo]="Ação"),ABS([Líquido])),0)</f>
        <v>4283.66</v>
      </c>
    </row>
    <row r="62" spans="1:20">
      <c r="A62" s="10">
        <v>1</v>
      </c>
      <c r="B62" s="10" t="str">
        <f>CONCATENATE(Tabela1[[#This Row],[Papel]],"_",Tabela1[[#This Row],[Trade]])</f>
        <v>INET3_1</v>
      </c>
      <c r="C62" s="2">
        <v>40967</v>
      </c>
      <c r="D62" s="4">
        <f>WORKDAY(Tabela1[[#This Row],[Data]],IF(Tabela1[[#This Row],[Tipo]]="Opção",1,3))</f>
        <v>40970</v>
      </c>
      <c r="E62" s="8">
        <f>DAY(Tabela1[[#This Row],[Data Liquidação]])</f>
        <v>2</v>
      </c>
      <c r="F62" s="5">
        <f>MONTH([Data Liquidação])</f>
        <v>3</v>
      </c>
      <c r="G62" s="8">
        <f>YEAR(Tabela1[[#This Row],[Data Liquidação]])</f>
        <v>2012</v>
      </c>
      <c r="H62" s="5" t="s">
        <v>32</v>
      </c>
      <c r="I62" s="14" t="s">
        <v>61</v>
      </c>
      <c r="J62" s="18" t="s">
        <v>48</v>
      </c>
      <c r="K62" s="10">
        <v>-3000</v>
      </c>
      <c r="L62" s="6">
        <v>494</v>
      </c>
      <c r="M62" s="14">
        <f>IF([Quantidade]&lt;&gt;0,ABS([Líquido])/ABS([Quantidade]),0)</f>
        <v>0.16466666666666666</v>
      </c>
      <c r="N6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0.20532666666666669</v>
      </c>
      <c r="O6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-121.98000000000009</v>
      </c>
      <c r="P62" s="12"/>
      <c r="Q62" s="12"/>
      <c r="R62" s="12">
        <f>Tabela1[[#This Row],[Resultado]]+Tabela1[[#This Row],[IRFF]]+Tabela1[[#This Row],[Outras Bovespa]]</f>
        <v>-121.98000000000009</v>
      </c>
      <c r="S62" s="10" t="str">
        <f>IF([Quantidade]=0,"D","N")</f>
        <v>N</v>
      </c>
      <c r="T62" s="12">
        <f>IF([Tipo]="Ação",SUMPRODUCT(N([Ano]=Tabela1[[#This Row],[Ano]]),N([Mês]=Tabela1[[#This Row],[Mês]]),N([Quantidade]&lt;0),N([Tipo]="Ação"),ABS([Líquido])),0)</f>
        <v>4283.66</v>
      </c>
    </row>
    <row r="63" spans="1:20">
      <c r="A63" s="10">
        <v>1</v>
      </c>
      <c r="B63" s="10" t="str">
        <f>CONCATENATE(Tabela1[[#This Row],[Papel]],"_",Tabela1[[#This Row],[Trade]])</f>
        <v>AGEN11_1</v>
      </c>
      <c r="C63" s="4">
        <v>40968</v>
      </c>
      <c r="D63" s="4">
        <f>WORKDAY(Tabela1[[#This Row],[Data]],IF(Tabela1[[#This Row],[Tipo]]="Opção",1,3))</f>
        <v>40973</v>
      </c>
      <c r="E63" s="8">
        <f>DAY(Tabela1[[#This Row],[Data Liquidação]])</f>
        <v>5</v>
      </c>
      <c r="F63" s="5">
        <f>MONTH([Data Liquidação])</f>
        <v>3</v>
      </c>
      <c r="G63" s="8">
        <f>YEAR(Tabela1[[#This Row],[Data Liquidação]])</f>
        <v>2012</v>
      </c>
      <c r="H63" s="5" t="s">
        <v>32</v>
      </c>
      <c r="I63" s="14" t="s">
        <v>53</v>
      </c>
      <c r="J63" s="18" t="s">
        <v>48</v>
      </c>
      <c r="K63" s="10">
        <v>-3000</v>
      </c>
      <c r="L63" s="6">
        <v>733.98</v>
      </c>
      <c r="M63" s="14">
        <f>IF([Quantidade]&lt;&gt;0,ABS([Líquido])/ABS([Quantidade]),0)</f>
        <v>0.24466000000000002</v>
      </c>
      <c r="N6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-461.39500000000004</v>
      </c>
      <c r="P63" s="12"/>
      <c r="Q63" s="12"/>
      <c r="R63" s="12">
        <f>Tabela1[[#This Row],[Resultado]]+Tabela1[[#This Row],[IRFF]]+Tabela1[[#This Row],[Outras Bovespa]]</f>
        <v>-461.39500000000004</v>
      </c>
      <c r="S63" s="10" t="str">
        <f>IF([Quantidade]=0,"D","N")</f>
        <v>N</v>
      </c>
      <c r="T63" s="12">
        <f>IF([Tipo]="Ação",SUMPRODUCT(N([Ano]=Tabela1[[#This Row],[Ano]]),N([Mês]=Tabela1[[#This Row],[Mês]]),N([Quantidade]&lt;0),N([Tipo]="Ação"),ABS([Líquido])),0)</f>
        <v>4283.66</v>
      </c>
    </row>
    <row r="64" spans="1:20">
      <c r="A64" s="10">
        <v>1</v>
      </c>
      <c r="B64" s="10" t="str">
        <f>CONCATENATE(Tabela1[[#This Row],[Papel]],"_",Tabela1[[#This Row],[Trade]])</f>
        <v>FJTA4_1</v>
      </c>
      <c r="C64" s="4">
        <v>40970</v>
      </c>
      <c r="D64" s="4">
        <f>WORKDAY(Tabela1[[#This Row],[Data]],IF(Tabela1[[#This Row],[Tipo]]="Opção",1,3))</f>
        <v>40975</v>
      </c>
      <c r="E64" s="8">
        <f>DAY(Tabela1[[#This Row],[Data Liquidação]])</f>
        <v>7</v>
      </c>
      <c r="F64" s="5">
        <f>MONTH([Data Liquidação])</f>
        <v>3</v>
      </c>
      <c r="G64" s="8">
        <f>YEAR(Tabela1[[#This Row],[Data Liquidação]])</f>
        <v>2012</v>
      </c>
      <c r="H64" s="5" t="s">
        <v>32</v>
      </c>
      <c r="I64" s="14" t="s">
        <v>62</v>
      </c>
      <c r="J64" s="18" t="s">
        <v>48</v>
      </c>
      <c r="K64" s="10">
        <v>500</v>
      </c>
      <c r="L64" s="6">
        <v>-1076.1300000000001</v>
      </c>
      <c r="M64" s="14">
        <f>IF([Quantidade]&lt;&gt;0,ABS([Líquido])/ABS([Quantidade]),0)</f>
        <v>2.1522600000000001</v>
      </c>
      <c r="N6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64" s="12"/>
      <c r="Q64" s="12"/>
      <c r="R64" s="12">
        <f>Tabela1[[#This Row],[Resultado]]+Tabela1[[#This Row],[IRFF]]+Tabela1[[#This Row],[Outras Bovespa]]</f>
        <v>0</v>
      </c>
      <c r="S64" s="10" t="str">
        <f>IF([Quantidade]=0,"D","N")</f>
        <v>N</v>
      </c>
      <c r="T64" s="12">
        <f>IF([Tipo]="Ação",SUMPRODUCT(N([Ano]=Tabela1[[#This Row],[Ano]]),N([Mês]=Tabela1[[#This Row],[Mês]]),N([Quantidade]&lt;0),N([Tipo]="Ação"),ABS([Líquido])),0)</f>
        <v>4283.66</v>
      </c>
    </row>
    <row r="65" spans="1:20">
      <c r="A65" s="10">
        <v>2</v>
      </c>
      <c r="B65" s="10" t="str">
        <f>CONCATENATE(Tabela1[[#This Row],[Papel]],"_",Tabela1[[#This Row],[Trade]])</f>
        <v>GFSA3_2</v>
      </c>
      <c r="C65" s="4">
        <v>40970</v>
      </c>
      <c r="D65" s="4">
        <f>WORKDAY(Tabela1[[#This Row],[Data]],IF(Tabela1[[#This Row],[Tipo]]="Opção",1,3))</f>
        <v>40975</v>
      </c>
      <c r="E65" s="8">
        <f>DAY(Tabela1[[#This Row],[Data Liquidação]])</f>
        <v>7</v>
      </c>
      <c r="F65" s="5">
        <f>MONTH([Data Liquidação])</f>
        <v>3</v>
      </c>
      <c r="G65" s="8">
        <f>YEAR(Tabela1[[#This Row],[Data Liquidação]])</f>
        <v>2012</v>
      </c>
      <c r="H65" s="5" t="s">
        <v>32</v>
      </c>
      <c r="I65" s="14" t="s">
        <v>46</v>
      </c>
      <c r="J65" s="18" t="s">
        <v>48</v>
      </c>
      <c r="K65" s="10">
        <v>200</v>
      </c>
      <c r="L65" s="6">
        <v>-1006.12</v>
      </c>
      <c r="M65" s="14">
        <f>IF([Quantidade]&lt;&gt;0,ABS([Líquido])/ABS([Quantidade]),0)</f>
        <v>5.0305999999999997</v>
      </c>
      <c r="N6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65" s="12"/>
      <c r="Q65" s="12"/>
      <c r="R65" s="12">
        <f>Tabela1[[#This Row],[Resultado]]+Tabela1[[#This Row],[IRFF]]+Tabela1[[#This Row],[Outras Bovespa]]</f>
        <v>0</v>
      </c>
      <c r="S65" s="10" t="str">
        <f>IF([Quantidade]=0,"D","N")</f>
        <v>N</v>
      </c>
      <c r="T65" s="12">
        <f>IF([Tipo]="Ação",SUMPRODUCT(N([Ano]=Tabela1[[#This Row],[Ano]]),N([Mês]=Tabela1[[#This Row],[Mês]]),N([Quantidade]&lt;0),N([Tipo]="Ação"),ABS([Líquido])),0)</f>
        <v>4283.66</v>
      </c>
    </row>
    <row r="66" spans="1:20">
      <c r="A66" s="10">
        <v>1</v>
      </c>
      <c r="B66" s="10" t="str">
        <f>CONCATENATE(Tabela1[[#This Row],[Papel]],"_",Tabela1[[#This Row],[Trade]])</f>
        <v>FJTA4_1</v>
      </c>
      <c r="C66" s="4">
        <v>40974</v>
      </c>
      <c r="D66" s="4">
        <f>WORKDAY(Tabela1[[#This Row],[Data]],IF(Tabela1[[#This Row],[Tipo]]="Opção",1,3))</f>
        <v>40977</v>
      </c>
      <c r="E66" s="8">
        <f>DAY(Tabela1[[#This Row],[Data Liquidação]])</f>
        <v>9</v>
      </c>
      <c r="F66" s="5">
        <f>MONTH([Data Liquidação])</f>
        <v>3</v>
      </c>
      <c r="G66" s="8">
        <f>YEAR(Tabela1[[#This Row],[Data Liquidação]])</f>
        <v>2012</v>
      </c>
      <c r="H66" s="5" t="s">
        <v>32</v>
      </c>
      <c r="I66" s="14" t="s">
        <v>62</v>
      </c>
      <c r="J66" s="18" t="s">
        <v>48</v>
      </c>
      <c r="K66" s="10">
        <v>-500</v>
      </c>
      <c r="L66" s="6">
        <v>1003.88</v>
      </c>
      <c r="M66" s="14">
        <f>IF([Quantidade]&lt;&gt;0,ABS([Líquido])/ABS([Quantidade]),0)</f>
        <v>2.0077600000000002</v>
      </c>
      <c r="N6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2.1522600000000001</v>
      </c>
      <c r="O6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-72.249999999999929</v>
      </c>
      <c r="P66" s="12"/>
      <c r="Q66" s="12"/>
      <c r="R66" s="12">
        <f>Tabela1[[#This Row],[Resultado]]+Tabela1[[#This Row],[IRFF]]+Tabela1[[#This Row],[Outras Bovespa]]</f>
        <v>-72.249999999999929</v>
      </c>
      <c r="S66" s="10" t="str">
        <f>IF([Quantidade]=0,"D","N")</f>
        <v>N</v>
      </c>
      <c r="T66" s="12">
        <f>IF([Tipo]="Ação",SUMPRODUCT(N([Ano]=Tabela1[[#This Row],[Ano]]),N([Mês]=Tabela1[[#This Row],[Mês]]),N([Quantidade]&lt;0),N([Tipo]="Ação"),ABS([Líquido])),0)</f>
        <v>4283.66</v>
      </c>
    </row>
    <row r="67" spans="1:20">
      <c r="A67" s="10">
        <v>1</v>
      </c>
      <c r="B67" s="10" t="str">
        <f>CONCATENATE(Tabela1[[#This Row],[Papel]],"_",Tabela1[[#This Row],[Trade]])</f>
        <v>BEEF3_1</v>
      </c>
      <c r="C67" s="4">
        <v>40976</v>
      </c>
      <c r="D67" s="4">
        <f>WORKDAY(Tabela1[[#This Row],[Data]],IF(Tabela1[[#This Row],[Tipo]]="Opção",1,3))</f>
        <v>40981</v>
      </c>
      <c r="E67" s="8">
        <f>DAY(Tabela1[[#This Row],[Data Liquidação]])</f>
        <v>13</v>
      </c>
      <c r="F67" s="5">
        <f>MONTH([Data Liquidação])</f>
        <v>3</v>
      </c>
      <c r="G67" s="8">
        <f>YEAR(Tabela1[[#This Row],[Data Liquidação]])</f>
        <v>2012</v>
      </c>
      <c r="H67" s="5" t="s">
        <v>32</v>
      </c>
      <c r="I67" s="14" t="s">
        <v>63</v>
      </c>
      <c r="J67" s="18" t="s">
        <v>49</v>
      </c>
      <c r="K67" s="10">
        <v>-200</v>
      </c>
      <c r="L67" s="6">
        <v>1257.8</v>
      </c>
      <c r="M67" s="14">
        <f>IF([Quantidade]&lt;&gt;0,ABS([Líquido])/ABS([Quantidade]),0)</f>
        <v>6.2889999999999997</v>
      </c>
      <c r="N6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67" s="12"/>
      <c r="Q67" s="12"/>
      <c r="R67" s="12">
        <f>Tabela1[[#This Row],[Resultado]]+Tabela1[[#This Row],[IRFF]]+Tabela1[[#This Row],[Outras Bovespa]]</f>
        <v>0</v>
      </c>
      <c r="S67" s="10" t="str">
        <f>IF([Quantidade]=0,"D","N")</f>
        <v>N</v>
      </c>
      <c r="T67" s="12">
        <f>IF([Tipo]="Ação",SUMPRODUCT(N([Ano]=Tabela1[[#This Row],[Ano]]),N([Mês]=Tabela1[[#This Row],[Mês]]),N([Quantidade]&lt;0),N([Tipo]="Ação"),ABS([Líquido])),0)</f>
        <v>4283.66</v>
      </c>
    </row>
    <row r="68" spans="1:20">
      <c r="A68" s="7">
        <v>1</v>
      </c>
      <c r="B68" s="7" t="str">
        <f>CONCATENATE(Tabela1[[#This Row],[Papel]],"_",Tabela1[[#This Row],[Trade]])</f>
        <v>PETRC24_1</v>
      </c>
      <c r="C68" s="2">
        <v>40980</v>
      </c>
      <c r="D68" s="2">
        <f>WORKDAY(Tabela1[[#This Row],[Data]],IF(Tabela1[[#This Row],[Tipo]]="Opção",1,3))</f>
        <v>40981</v>
      </c>
      <c r="E68" s="9">
        <f>DAY(Tabela1[[#This Row],[Data Liquidação]])</f>
        <v>13</v>
      </c>
      <c r="F68" s="1">
        <f>MONTH([Data Liquidação])</f>
        <v>3</v>
      </c>
      <c r="G68" s="9">
        <f>YEAR(Tabela1[[#This Row],[Data Liquidação]])</f>
        <v>2012</v>
      </c>
      <c r="H68" s="1" t="s">
        <v>7</v>
      </c>
      <c r="I68" s="13" t="s">
        <v>64</v>
      </c>
      <c r="J68" s="17" t="s">
        <v>48</v>
      </c>
      <c r="K68" s="7">
        <v>600</v>
      </c>
      <c r="L68" s="3">
        <v>-183.99</v>
      </c>
      <c r="M68" s="13">
        <f>IF([Quantidade]&lt;&gt;0,ABS([Líquido])/ABS([Quantidade]),0)</f>
        <v>0.30665000000000003</v>
      </c>
      <c r="N68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8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68" s="11"/>
      <c r="Q68" s="11"/>
      <c r="R68" s="11">
        <f>Tabela1[[#This Row],[Resultado]]+Tabela1[[#This Row],[IRFF]]+Tabela1[[#This Row],[Outras Bovespa]]</f>
        <v>0</v>
      </c>
      <c r="S68" s="7" t="str">
        <f>IF([Quantidade]=0,"D","N")</f>
        <v>N</v>
      </c>
      <c r="T68" s="11">
        <f>IF([Tipo]="Ação",SUMPRODUCT(N([Ano]=Tabela1[[#This Row],[Ano]]),N([Mês]=Tabela1[[#This Row],[Mês]]),N([Quantidade]&lt;0),N([Tipo]="Ação"),ABS([Líquido])),0)</f>
        <v>0</v>
      </c>
    </row>
    <row r="69" spans="1:20">
      <c r="A69" s="10">
        <v>1</v>
      </c>
      <c r="B69" s="10" t="str">
        <f>CONCATENATE(Tabela1[[#This Row],[Papel]],"_",Tabela1[[#This Row],[Trade]])</f>
        <v>VALEC40_1</v>
      </c>
      <c r="C69" s="2">
        <v>40980</v>
      </c>
      <c r="D69" s="4">
        <f>WORKDAY(Tabela1[[#This Row],[Data]],IF(Tabela1[[#This Row],[Tipo]]="Opção",1,3))</f>
        <v>40981</v>
      </c>
      <c r="E69" s="8">
        <f>DAY(Tabela1[[#This Row],[Data Liquidação]])</f>
        <v>13</v>
      </c>
      <c r="F69" s="5">
        <f>MONTH([Data Liquidação])</f>
        <v>3</v>
      </c>
      <c r="G69" s="8">
        <f>YEAR(Tabela1[[#This Row],[Data Liquidação]])</f>
        <v>2012</v>
      </c>
      <c r="H69" s="5" t="s">
        <v>7</v>
      </c>
      <c r="I69" s="14" t="s">
        <v>65</v>
      </c>
      <c r="J69" s="18" t="s">
        <v>48</v>
      </c>
      <c r="K69" s="10">
        <v>400</v>
      </c>
      <c r="L69" s="6">
        <v>-175.99</v>
      </c>
      <c r="M69" s="14">
        <f>IF([Quantidade]&lt;&gt;0,ABS([Líquido])/ABS([Quantidade]),0)</f>
        <v>0.439975</v>
      </c>
      <c r="N6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69" s="12"/>
      <c r="Q69" s="12"/>
      <c r="R69" s="12">
        <f>Tabela1[[#This Row],[Resultado]]+Tabela1[[#This Row],[IRFF]]+Tabela1[[#This Row],[Outras Bovespa]]</f>
        <v>0</v>
      </c>
      <c r="S69" s="10" t="str">
        <f>IF([Quantidade]=0,"D","N")</f>
        <v>N</v>
      </c>
      <c r="T69" s="12">
        <f>IF([Tipo]="Ação",SUMPRODUCT(N([Ano]=Tabela1[[#This Row],[Ano]]),N([Mês]=Tabela1[[#This Row],[Mês]]),N([Quantidade]&lt;0),N([Tipo]="Ação"),ABS([Líquido])),0)</f>
        <v>0</v>
      </c>
    </row>
    <row r="70" spans="1:20">
      <c r="A70" s="7">
        <v>1</v>
      </c>
      <c r="B70" s="7" t="str">
        <f>CONCATENATE(Tabela1[[#This Row],[Papel]],"_",Tabela1[[#This Row],[Trade]])</f>
        <v>PETRC24_1</v>
      </c>
      <c r="C70" s="2">
        <v>40981</v>
      </c>
      <c r="D70" s="2">
        <f>WORKDAY(Tabela1[[#This Row],[Data]],IF(Tabela1[[#This Row],[Tipo]]="Opção",1,3))</f>
        <v>40982</v>
      </c>
      <c r="E70" s="9">
        <f>DAY(Tabela1[[#This Row],[Data Liquidação]])</f>
        <v>14</v>
      </c>
      <c r="F70" s="1">
        <f>MONTH([Data Liquidação])</f>
        <v>3</v>
      </c>
      <c r="G70" s="9">
        <f>YEAR(Tabela1[[#This Row],[Data Liquidação]])</f>
        <v>2012</v>
      </c>
      <c r="H70" s="1" t="s">
        <v>7</v>
      </c>
      <c r="I70" s="13" t="s">
        <v>64</v>
      </c>
      <c r="J70" s="17" t="s">
        <v>48</v>
      </c>
      <c r="K70" s="7">
        <v>-600</v>
      </c>
      <c r="L70" s="3">
        <v>319.83999999999997</v>
      </c>
      <c r="M70" s="13">
        <f>IF([Quantidade]&lt;&gt;0,ABS([Líquido])/ABS([Quantidade]),0)</f>
        <v>0.53306666666666658</v>
      </c>
      <c r="N7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0.30665000000000003</v>
      </c>
      <c r="O7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135.84999999999994</v>
      </c>
      <c r="P70" s="11"/>
      <c r="Q70" s="11"/>
      <c r="R70" s="11">
        <f>Tabela1[[#This Row],[Resultado]]+Tabela1[[#This Row],[IRFF]]+Tabela1[[#This Row],[Outras Bovespa]]</f>
        <v>135.84999999999994</v>
      </c>
      <c r="S70" s="7" t="str">
        <f>IF([Quantidade]=0,"D","N")</f>
        <v>N</v>
      </c>
      <c r="T70" s="11">
        <f>IF([Tipo]="Ação",SUMPRODUCT(N([Ano]=Tabela1[[#This Row],[Ano]]),N([Mês]=Tabela1[[#This Row],[Mês]]),N([Quantidade]&lt;0),N([Tipo]="Ação"),ABS([Líquido])),0)</f>
        <v>0</v>
      </c>
    </row>
    <row r="71" spans="1:20">
      <c r="A71" s="7">
        <v>1</v>
      </c>
      <c r="B71" s="7" t="str">
        <f>CONCATENATE(Tabela1[[#This Row],[Papel]],"_",Tabela1[[#This Row],[Trade]])</f>
        <v>PETRD24_1</v>
      </c>
      <c r="C71" s="2">
        <v>40981</v>
      </c>
      <c r="D71" s="2">
        <f>WORKDAY(Tabela1[[#This Row],[Data]],IF(Tabela1[[#This Row],[Tipo]]="Opção",1,3))</f>
        <v>40982</v>
      </c>
      <c r="E71" s="9">
        <f>DAY(Tabela1[[#This Row],[Data Liquidação]])</f>
        <v>14</v>
      </c>
      <c r="F71" s="1">
        <f>MONTH([Data Liquidação])</f>
        <v>3</v>
      </c>
      <c r="G71" s="9">
        <f>YEAR(Tabela1[[#This Row],[Data Liquidação]])</f>
        <v>2012</v>
      </c>
      <c r="H71" s="1" t="s">
        <v>7</v>
      </c>
      <c r="I71" s="13" t="s">
        <v>66</v>
      </c>
      <c r="J71" s="17" t="s">
        <v>48</v>
      </c>
      <c r="K71" s="7">
        <v>200</v>
      </c>
      <c r="L71" s="3">
        <v>-176.15</v>
      </c>
      <c r="M71" s="13">
        <f>IF([Quantidade]&lt;&gt;0,ABS([Líquido])/ABS([Quantidade]),0)</f>
        <v>0.88075000000000003</v>
      </c>
      <c r="N7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71" s="11"/>
      <c r="Q71" s="11"/>
      <c r="R71" s="11">
        <f>Tabela1[[#This Row],[Resultado]]+Tabela1[[#This Row],[IRFF]]+Tabela1[[#This Row],[Outras Bovespa]]</f>
        <v>0</v>
      </c>
      <c r="S71" s="7" t="str">
        <f>IF([Quantidade]=0,"D","N")</f>
        <v>N</v>
      </c>
      <c r="T71" s="11">
        <f>IF([Tipo]="Ação",SUMPRODUCT(N([Ano]=Tabela1[[#This Row],[Ano]]),N([Mês]=Tabela1[[#This Row],[Mês]]),N([Quantidade]&lt;0),N([Tipo]="Ação"),ABS([Líquido])),0)</f>
        <v>0</v>
      </c>
    </row>
    <row r="72" spans="1:20">
      <c r="A72" s="7">
        <v>1</v>
      </c>
      <c r="B72" s="7" t="str">
        <f>CONCATENATE(Tabela1[[#This Row],[Papel]],"_",Tabela1[[#This Row],[Trade]])</f>
        <v>VALEC40_1</v>
      </c>
      <c r="C72" s="2">
        <v>40981</v>
      </c>
      <c r="D72" s="2">
        <f>WORKDAY(Tabela1[[#This Row],[Data]],IF(Tabela1[[#This Row],[Tipo]]="Opção",1,3))</f>
        <v>40982</v>
      </c>
      <c r="E72" s="9">
        <f>DAY(Tabela1[[#This Row],[Data Liquidação]])</f>
        <v>14</v>
      </c>
      <c r="F72" s="1">
        <f>MONTH([Data Liquidação])</f>
        <v>3</v>
      </c>
      <c r="G72" s="9">
        <f>YEAR(Tabela1[[#This Row],[Data Liquidação]])</f>
        <v>2012</v>
      </c>
      <c r="H72" s="1" t="s">
        <v>7</v>
      </c>
      <c r="I72" s="13" t="s">
        <v>65</v>
      </c>
      <c r="J72" s="17" t="s">
        <v>48</v>
      </c>
      <c r="K72" s="7">
        <v>-400</v>
      </c>
      <c r="L72" s="3">
        <v>303.83999999999997</v>
      </c>
      <c r="M72" s="13">
        <f>IF([Quantidade]&lt;&gt;0,ABS([Líquido])/ABS([Quantidade]),0)</f>
        <v>0.75959999999999994</v>
      </c>
      <c r="N7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0.439975</v>
      </c>
      <c r="O7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127.84999999999998</v>
      </c>
      <c r="P72" s="11"/>
      <c r="Q72" s="11"/>
      <c r="R72" s="11">
        <f>Tabela1[[#This Row],[Resultado]]+Tabela1[[#This Row],[IRFF]]+Tabela1[[#This Row],[Outras Bovespa]]</f>
        <v>127.84999999999998</v>
      </c>
      <c r="S72" s="7" t="str">
        <f>IF([Quantidade]=0,"D","N")</f>
        <v>N</v>
      </c>
      <c r="T72" s="11">
        <f>IF([Tipo]="Ação",SUMPRODUCT(N([Ano]=Tabela1[[#This Row],[Ano]]),N([Mês]=Tabela1[[#This Row],[Mês]]),N([Quantidade]&lt;0),N([Tipo]="Ação"),ABS([Líquido])),0)</f>
        <v>0</v>
      </c>
    </row>
    <row r="73" spans="1:20">
      <c r="A73" s="10">
        <v>1</v>
      </c>
      <c r="B73" s="10" t="str">
        <f>CONCATENATE(Tabela1[[#This Row],[Papel]],"_",Tabela1[[#This Row],[Trade]])</f>
        <v>OGXPC17_1</v>
      </c>
      <c r="C73" s="2">
        <v>40981</v>
      </c>
      <c r="D73" s="4">
        <f>WORKDAY(Tabela1[[#This Row],[Data]],IF(Tabela1[[#This Row],[Tipo]]="Opção",1,3))</f>
        <v>40982</v>
      </c>
      <c r="E73" s="8">
        <f>DAY(Tabela1[[#This Row],[Data Liquidação]])</f>
        <v>14</v>
      </c>
      <c r="F73" s="5">
        <f>MONTH([Data Liquidação])</f>
        <v>3</v>
      </c>
      <c r="G73" s="8">
        <f>YEAR(Tabela1[[#This Row],[Data Liquidação]])</f>
        <v>2012</v>
      </c>
      <c r="H73" s="5" t="s">
        <v>7</v>
      </c>
      <c r="I73" s="14" t="s">
        <v>67</v>
      </c>
      <c r="J73" s="18" t="s">
        <v>48</v>
      </c>
      <c r="K73" s="10">
        <v>0</v>
      </c>
      <c r="L73" s="6">
        <v>194.18</v>
      </c>
      <c r="M73" s="14">
        <f>IF([Quantidade]&lt;&gt;0,ABS([Líquido])/ABS([Quantidade]),0)</f>
        <v>0</v>
      </c>
      <c r="N7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194.18</v>
      </c>
      <c r="P73" s="12">
        <v>1.97</v>
      </c>
      <c r="Q73" s="12">
        <v>1.1599999999999999</v>
      </c>
      <c r="R73" s="12">
        <f>Tabela1[[#This Row],[Resultado]]+Tabela1[[#This Row],[IRFF]]+Tabela1[[#This Row],[Outras Bovespa]]</f>
        <v>197.31</v>
      </c>
      <c r="S73" s="10" t="str">
        <f>IF([Quantidade]=0,"D","N")</f>
        <v>D</v>
      </c>
      <c r="T73" s="12">
        <f>IF([Tipo]="Ação",SUMPRODUCT(N([Ano]=Tabela1[[#This Row],[Ano]]),N([Mês]=Tabela1[[#This Row],[Mês]]),N([Quantidade]&lt;0),N([Tipo]="Ação"),ABS([Líquido])),0)</f>
        <v>0</v>
      </c>
    </row>
    <row r="74" spans="1:20">
      <c r="A74" s="7">
        <v>1</v>
      </c>
      <c r="B74" s="7" t="str">
        <f>CONCATENATE(Tabela1[[#This Row],[Papel]],"_",Tabela1[[#This Row],[Trade]])</f>
        <v>VALEC43_1</v>
      </c>
      <c r="C74" s="2">
        <v>40982</v>
      </c>
      <c r="D74" s="2">
        <f>WORKDAY(Tabela1[[#This Row],[Data]],IF(Tabela1[[#This Row],[Tipo]]="Opção",1,3))</f>
        <v>40983</v>
      </c>
      <c r="E74" s="9">
        <f>DAY(Tabela1[[#This Row],[Data Liquidação]])</f>
        <v>15</v>
      </c>
      <c r="F74" s="1">
        <f>MONTH([Data Liquidação])</f>
        <v>3</v>
      </c>
      <c r="G74" s="9">
        <f>YEAR(Tabela1[[#This Row],[Data Liquidação]])</f>
        <v>2012</v>
      </c>
      <c r="H74" s="1" t="s">
        <v>7</v>
      </c>
      <c r="I74" s="13" t="s">
        <v>69</v>
      </c>
      <c r="J74" s="17" t="s">
        <v>48</v>
      </c>
      <c r="K74" s="7">
        <v>800</v>
      </c>
      <c r="L74" s="3">
        <v>-328.19</v>
      </c>
      <c r="M74" s="13">
        <f>IF([Quantidade]&lt;&gt;0,ABS([Líquido])/ABS([Quantidade]),0)</f>
        <v>0.41023749999999998</v>
      </c>
      <c r="N74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4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74" s="11"/>
      <c r="Q74" s="11"/>
      <c r="R74" s="11">
        <f>Tabela1[[#This Row],[Resultado]]+Tabela1[[#This Row],[IRFF]]+Tabela1[[#This Row],[Outras Bovespa]]</f>
        <v>0</v>
      </c>
      <c r="S74" s="7" t="str">
        <f>IF([Quantidade]=0,"D","N")</f>
        <v>N</v>
      </c>
      <c r="T74" s="11">
        <f>IF([Tipo]="Ação",SUMPRODUCT(N([Ano]=Tabela1[[#This Row],[Ano]]),N([Mês]=Tabela1[[#This Row],[Mês]]),N([Quantidade]&lt;0),N([Tipo]="Ação"),ABS([Líquido])),0)</f>
        <v>0</v>
      </c>
    </row>
    <row r="75" spans="1:20">
      <c r="A75" s="10">
        <v>1</v>
      </c>
      <c r="B75" s="10" t="str">
        <f>CONCATENATE(Tabela1[[#This Row],[Papel]],"_",Tabela1[[#This Row],[Trade]])</f>
        <v>PETRC25_1</v>
      </c>
      <c r="C75" s="2">
        <v>40982</v>
      </c>
      <c r="D75" s="4">
        <f>WORKDAY(Tabela1[[#This Row],[Data]],IF(Tabela1[[#This Row],[Tipo]]="Opção",1,3))</f>
        <v>40983</v>
      </c>
      <c r="E75" s="8">
        <f>DAY(Tabela1[[#This Row],[Data Liquidação]])</f>
        <v>15</v>
      </c>
      <c r="F75" s="5">
        <f>MONTH([Data Liquidação])</f>
        <v>3</v>
      </c>
      <c r="G75" s="8">
        <f>YEAR(Tabela1[[#This Row],[Data Liquidação]])</f>
        <v>2012</v>
      </c>
      <c r="H75" s="5" t="s">
        <v>7</v>
      </c>
      <c r="I75" s="14" t="s">
        <v>68</v>
      </c>
      <c r="J75" s="18" t="s">
        <v>48</v>
      </c>
      <c r="K75" s="10">
        <v>0</v>
      </c>
      <c r="L75" s="6">
        <v>277.23</v>
      </c>
      <c r="M75" s="14">
        <f>IF([Quantidade]&lt;&gt;0,ABS([Líquido])/ABS([Quantidade]),0)</f>
        <v>0</v>
      </c>
      <c r="N7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277.23</v>
      </c>
      <c r="P75" s="12">
        <v>2.81</v>
      </c>
      <c r="Q75" s="12">
        <v>1.1599999999999999</v>
      </c>
      <c r="R75" s="12">
        <f>Tabela1[[#This Row],[Resultado]]+Tabela1[[#This Row],[IRFF]]+Tabela1[[#This Row],[Outras Bovespa]]</f>
        <v>281.20000000000005</v>
      </c>
      <c r="S75" s="10" t="str">
        <f>IF([Quantidade]=0,"D","N")</f>
        <v>D</v>
      </c>
      <c r="T75" s="12">
        <f>IF([Tipo]="Ação",SUMPRODUCT(N([Ano]=Tabela1[[#This Row],[Ano]]),N([Mês]=Tabela1[[#This Row],[Mês]]),N([Quantidade]&lt;0),N([Tipo]="Ação"),ABS([Líquido])),0)</f>
        <v>0</v>
      </c>
    </row>
    <row r="76" spans="1:20">
      <c r="A76" s="10">
        <v>1</v>
      </c>
      <c r="B76" s="10" t="str">
        <f>CONCATENATE(Tabela1[[#This Row],[Papel]],"_",Tabela1[[#This Row],[Trade]])</f>
        <v>VALED43_1</v>
      </c>
      <c r="C76" s="4">
        <v>40983</v>
      </c>
      <c r="D76" s="4">
        <f>WORKDAY(Tabela1[[#This Row],[Data]],IF(Tabela1[[#This Row],[Tipo]]="Opção",1,3))</f>
        <v>40984</v>
      </c>
      <c r="E76" s="8">
        <f>DAY(Tabela1[[#This Row],[Data Liquidação]])</f>
        <v>16</v>
      </c>
      <c r="F76" s="5">
        <f>MONTH([Data Liquidação])</f>
        <v>3</v>
      </c>
      <c r="G76" s="8">
        <f>YEAR(Tabela1[[#This Row],[Data Liquidação]])</f>
        <v>2012</v>
      </c>
      <c r="H76" s="5" t="s">
        <v>7</v>
      </c>
      <c r="I76" s="14" t="s">
        <v>70</v>
      </c>
      <c r="J76" s="18" t="s">
        <v>48</v>
      </c>
      <c r="K76" s="10">
        <v>500</v>
      </c>
      <c r="L76" s="6">
        <v>-376.24</v>
      </c>
      <c r="M76" s="14">
        <f>IF([Quantidade]&lt;&gt;0,ABS([Líquido])/ABS([Quantidade]),0)</f>
        <v>0.75248000000000004</v>
      </c>
      <c r="N7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76" s="12"/>
      <c r="Q76" s="12"/>
      <c r="R76" s="12">
        <f>Tabela1[[#This Row],[Resultado]]+Tabela1[[#This Row],[IRFF]]+Tabela1[[#This Row],[Outras Bovespa]]</f>
        <v>0</v>
      </c>
      <c r="S76" s="10" t="str">
        <f>IF([Quantidade]=0,"D","N")</f>
        <v>N</v>
      </c>
      <c r="T76" s="12">
        <f>IF([Tipo]="Ação",SUMPRODUCT(N([Ano]=Tabela1[[#This Row],[Ano]]),N([Mês]=Tabela1[[#This Row],[Mês]]),N([Quantidade]&lt;0),N([Tipo]="Ação"),ABS([Líquido])),0)</f>
        <v>0</v>
      </c>
    </row>
    <row r="77" spans="1:20">
      <c r="A77" s="10">
        <v>1</v>
      </c>
      <c r="B77" s="10" t="str">
        <f>CONCATENATE(Tabela1[[#This Row],[Papel]],"_",Tabela1[[#This Row],[Trade]])</f>
        <v>PETRD24_1</v>
      </c>
      <c r="C77" s="4">
        <v>40984</v>
      </c>
      <c r="D77" s="4">
        <f>WORKDAY(Tabela1[[#This Row],[Data]],IF(Tabela1[[#This Row],[Tipo]]="Opção",1,3))</f>
        <v>40987</v>
      </c>
      <c r="E77" s="8">
        <f>DAY(Tabela1[[#This Row],[Data Liquidação]])</f>
        <v>19</v>
      </c>
      <c r="F77" s="5">
        <f>MONTH([Data Liquidação])</f>
        <v>3</v>
      </c>
      <c r="G77" s="8">
        <f>YEAR(Tabela1[[#This Row],[Data Liquidação]])</f>
        <v>2012</v>
      </c>
      <c r="H77" s="5" t="s">
        <v>7</v>
      </c>
      <c r="I77" s="14" t="s">
        <v>66</v>
      </c>
      <c r="J77" s="18" t="s">
        <v>48</v>
      </c>
      <c r="K77" s="10">
        <v>-100</v>
      </c>
      <c r="L77" s="6">
        <v>89.97</v>
      </c>
      <c r="M77" s="14">
        <f>IF([Quantidade]&lt;&gt;0,ABS([Líquido])/ABS([Quantidade]),0)</f>
        <v>0.89969999999999994</v>
      </c>
      <c r="N7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0.88075000000000003</v>
      </c>
      <c r="O7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1.8949999999999911</v>
      </c>
      <c r="P77" s="12"/>
      <c r="Q77" s="12"/>
      <c r="R77" s="12">
        <f>Tabela1[[#This Row],[Resultado]]+Tabela1[[#This Row],[IRFF]]+Tabela1[[#This Row],[Outras Bovespa]]</f>
        <v>1.8949999999999911</v>
      </c>
      <c r="S77" s="10" t="str">
        <f>IF([Quantidade]=0,"D","N")</f>
        <v>N</v>
      </c>
      <c r="T77" s="12">
        <f>IF([Tipo]="Ação",SUMPRODUCT(N([Ano]=Tabela1[[#This Row],[Ano]]),N([Mês]=Tabela1[[#This Row],[Mês]]),N([Quantidade]&lt;0),N([Tipo]="Ação"),ABS([Líquido])),0)</f>
        <v>0</v>
      </c>
    </row>
    <row r="78" spans="1:20">
      <c r="A78" s="7">
        <v>1</v>
      </c>
      <c r="B78" s="7" t="str">
        <f>CONCATENATE(Tabela1[[#This Row],[Papel]],"_",Tabela1[[#This Row],[Trade]])</f>
        <v>VALEC43_1</v>
      </c>
      <c r="C78" s="4">
        <v>40984</v>
      </c>
      <c r="D78" s="2">
        <f>WORKDAY(Tabela1[[#This Row],[Data]],IF(Tabela1[[#This Row],[Tipo]]="Opção",1,3))</f>
        <v>40987</v>
      </c>
      <c r="E78" s="9">
        <f>DAY(Tabela1[[#This Row],[Data Liquidação]])</f>
        <v>19</v>
      </c>
      <c r="F78" s="1">
        <f>MONTH([Data Liquidação])</f>
        <v>3</v>
      </c>
      <c r="G78" s="9">
        <f>YEAR(Tabela1[[#This Row],[Data Liquidação]])</f>
        <v>2012</v>
      </c>
      <c r="H78" s="1" t="s">
        <v>7</v>
      </c>
      <c r="I78" s="13" t="s">
        <v>69</v>
      </c>
      <c r="J78" s="17" t="s">
        <v>48</v>
      </c>
      <c r="K78" s="7">
        <v>-800</v>
      </c>
      <c r="L78" s="3">
        <v>151.96</v>
      </c>
      <c r="M78" s="13">
        <f>IF([Quantidade]&lt;&gt;0,ABS([Líquido])/ABS([Quantidade]),0)</f>
        <v>0.18995000000000001</v>
      </c>
      <c r="N78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0.41023749999999998</v>
      </c>
      <c r="O78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-176.22999999999996</v>
      </c>
      <c r="P78" s="11"/>
      <c r="Q78" s="11"/>
      <c r="R78" s="11">
        <f>Tabela1[[#This Row],[Resultado]]+Tabela1[[#This Row],[IRFF]]+Tabela1[[#This Row],[Outras Bovespa]]</f>
        <v>-176.22999999999996</v>
      </c>
      <c r="S78" s="7" t="str">
        <f>IF([Quantidade]=0,"D","N")</f>
        <v>N</v>
      </c>
      <c r="T78" s="11">
        <f>IF([Tipo]="Ação",SUMPRODUCT(N([Ano]=Tabela1[[#This Row],[Ano]]),N([Mês]=Tabela1[[#This Row],[Mês]]),N([Quantidade]&lt;0),N([Tipo]="Ação"),ABS([Líquido])),0)</f>
        <v>0</v>
      </c>
    </row>
    <row r="79" spans="1:20">
      <c r="A79" s="10">
        <v>1</v>
      </c>
      <c r="B79" s="10" t="str">
        <f>CONCATENATE(Tabela1[[#This Row],[Papel]],"_",Tabela1[[#This Row],[Trade]])</f>
        <v>VALED43_1</v>
      </c>
      <c r="C79" s="4">
        <v>40984</v>
      </c>
      <c r="D79" s="4">
        <f>WORKDAY(Tabela1[[#This Row],[Data]],IF(Tabela1[[#This Row],[Tipo]]="Opção",1,3))</f>
        <v>40987</v>
      </c>
      <c r="E79" s="8">
        <f>DAY(Tabela1[[#This Row],[Data Liquidação]])</f>
        <v>19</v>
      </c>
      <c r="F79" s="5">
        <f>MONTH([Data Liquidação])</f>
        <v>3</v>
      </c>
      <c r="G79" s="8">
        <f>YEAR(Tabela1[[#This Row],[Data Liquidação]])</f>
        <v>2012</v>
      </c>
      <c r="H79" s="5" t="s">
        <v>7</v>
      </c>
      <c r="I79" s="14" t="s">
        <v>70</v>
      </c>
      <c r="J79" s="18" t="s">
        <v>48</v>
      </c>
      <c r="K79" s="10">
        <v>-500</v>
      </c>
      <c r="L79" s="6">
        <v>303.95999999999998</v>
      </c>
      <c r="M79" s="14">
        <f>IF([Quantidade]&lt;&gt;0,ABS([Líquido])/ABS([Quantidade]),0)</f>
        <v>0.6079199999999999</v>
      </c>
      <c r="N7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0.75248000000000004</v>
      </c>
      <c r="O7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-72.280000000000072</v>
      </c>
      <c r="P79" s="12"/>
      <c r="Q79" s="12"/>
      <c r="R79" s="12">
        <f>Tabela1[[#This Row],[Resultado]]+Tabela1[[#This Row],[IRFF]]+Tabela1[[#This Row],[Outras Bovespa]]</f>
        <v>-72.280000000000072</v>
      </c>
      <c r="S79" s="10" t="str">
        <f>IF([Quantidade]=0,"D","N")</f>
        <v>N</v>
      </c>
      <c r="T79" s="12">
        <f>IF([Tipo]="Ação",SUMPRODUCT(N([Ano]=Tabela1[[#This Row],[Ano]]),N([Mês]=Tabela1[[#This Row],[Mês]]),N([Quantidade]&lt;0),N([Tipo]="Ação"),ABS([Líquido])),0)</f>
        <v>0</v>
      </c>
    </row>
    <row r="80" spans="1:20">
      <c r="A80" s="10">
        <v>1</v>
      </c>
      <c r="B80" s="10" t="str">
        <f>CONCATENATE(Tabela1[[#This Row],[Papel]],"_",Tabela1[[#This Row],[Trade]])</f>
        <v>BEEF3_1</v>
      </c>
      <c r="C80" s="4">
        <v>40989</v>
      </c>
      <c r="D80" s="4">
        <f>WORKDAY(Tabela1[[#This Row],[Data]],IF(Tabela1[[#This Row],[Tipo]]="Opção",1,3))</f>
        <v>40994</v>
      </c>
      <c r="E80" s="8">
        <f>DAY(Tabela1[[#This Row],[Data Liquidação]])</f>
        <v>26</v>
      </c>
      <c r="F80" s="5">
        <f>MONTH([Data Liquidação])</f>
        <v>3</v>
      </c>
      <c r="G80" s="8">
        <f>YEAR(Tabela1[[#This Row],[Data Liquidação]])</f>
        <v>2012</v>
      </c>
      <c r="H80" s="5" t="s">
        <v>32</v>
      </c>
      <c r="I80" s="14" t="s">
        <v>63</v>
      </c>
      <c r="J80" s="18" t="s">
        <v>49</v>
      </c>
      <c r="K80" s="10">
        <v>200</v>
      </c>
      <c r="L80" s="6">
        <v>-1406.24</v>
      </c>
      <c r="M80" s="14">
        <f>IF([Quantidade]&lt;&gt;0,ABS([Líquido])/ABS([Quantidade]),0)</f>
        <v>7.0312000000000001</v>
      </c>
      <c r="N8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8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-148.44000000000008</v>
      </c>
      <c r="P80" s="12"/>
      <c r="Q80" s="12"/>
      <c r="R80" s="12">
        <f>Tabela1[[#This Row],[Resultado]]+Tabela1[[#This Row],[IRFF]]+Tabela1[[#This Row],[Outras Bovespa]]</f>
        <v>-148.44000000000008</v>
      </c>
      <c r="S80" s="10" t="str">
        <f>IF([Quantidade]=0,"D","N")</f>
        <v>N</v>
      </c>
      <c r="T80" s="12">
        <f>IF([Tipo]="Ação",SUMPRODUCT(N([Ano]=Tabela1[[#This Row],[Ano]]),N([Mês]=Tabela1[[#This Row],[Mês]]),N([Quantidade]&lt;0),N([Tipo]="Ação"),ABS([Líquido])),0)</f>
        <v>4283.66</v>
      </c>
    </row>
    <row r="81" spans="1:20">
      <c r="A81" s="10">
        <v>1</v>
      </c>
      <c r="B81" s="10" t="str">
        <f>CONCATENATE(Tabela1[[#This Row],[Papel]],"_",Tabela1[[#This Row],[Trade]])</f>
        <v>OGXPD17_1</v>
      </c>
      <c r="C81" s="4">
        <v>40990</v>
      </c>
      <c r="D81" s="4">
        <f>WORKDAY(Tabela1[[#This Row],[Data]],IF(Tabela1[[#This Row],[Tipo]]="Opção",1,3))</f>
        <v>40991</v>
      </c>
      <c r="E81" s="8">
        <f>DAY(Tabela1[[#This Row],[Data Liquidação]])</f>
        <v>23</v>
      </c>
      <c r="F81" s="5">
        <f>MONTH([Data Liquidação])</f>
        <v>3</v>
      </c>
      <c r="G81" s="8">
        <f>YEAR(Tabela1[[#This Row],[Data Liquidação]])</f>
        <v>2012</v>
      </c>
      <c r="H81" s="5" t="s">
        <v>7</v>
      </c>
      <c r="I81" s="14" t="s">
        <v>71</v>
      </c>
      <c r="J81" s="18" t="s">
        <v>48</v>
      </c>
      <c r="K81" s="10">
        <v>700</v>
      </c>
      <c r="L81" s="6">
        <v>-436.32</v>
      </c>
      <c r="M81" s="14">
        <f>IF([Quantidade]&lt;&gt;0,ABS([Líquido])/ABS([Quantidade]),0)</f>
        <v>0.62331428571428571</v>
      </c>
      <c r="N8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81" s="12"/>
      <c r="Q81" s="12"/>
      <c r="R81" s="12">
        <f>Tabela1[[#This Row],[Resultado]]+Tabela1[[#This Row],[IRFF]]+Tabela1[[#This Row],[Outras Bovespa]]</f>
        <v>0</v>
      </c>
      <c r="S81" s="10" t="str">
        <f>IF([Quantidade]=0,"D","N")</f>
        <v>N</v>
      </c>
      <c r="T81" s="12">
        <f>IF([Tipo]="Ação",SUMPRODUCT(N([Ano]=Tabela1[[#This Row],[Ano]]),N([Mês]=Tabela1[[#This Row],[Mês]]),N([Quantidade]&lt;0),N([Tipo]="Ação"),ABS([Líquido])),0)</f>
        <v>0</v>
      </c>
    </row>
    <row r="82" spans="1:20">
      <c r="A82" s="10">
        <v>1</v>
      </c>
      <c r="B82" s="10" t="str">
        <f>CONCATENATE(Tabela1[[#This Row],[Papel]],"_",Tabela1[[#This Row],[Trade]])</f>
        <v>BVMFD12_1</v>
      </c>
      <c r="C82" s="4">
        <v>40991</v>
      </c>
      <c r="D82" s="4">
        <f>WORKDAY(Tabela1[[#This Row],[Data]],IF(Tabela1[[#This Row],[Tipo]]="Opção",1,3))</f>
        <v>40994</v>
      </c>
      <c r="E82" s="8">
        <f>DAY(Tabela1[[#This Row],[Data Liquidação]])</f>
        <v>26</v>
      </c>
      <c r="F82" s="5">
        <f>MONTH([Data Liquidação])</f>
        <v>3</v>
      </c>
      <c r="G82" s="8">
        <f>YEAR(Tabela1[[#This Row],[Data Liquidação]])</f>
        <v>2012</v>
      </c>
      <c r="H82" s="5" t="s">
        <v>7</v>
      </c>
      <c r="I82" s="14" t="s">
        <v>72</v>
      </c>
      <c r="J82" s="18" t="s">
        <v>48</v>
      </c>
      <c r="K82" s="10">
        <v>1700</v>
      </c>
      <c r="L82" s="6">
        <v>-458.35</v>
      </c>
      <c r="M82" s="14">
        <f>IF([Quantidade]&lt;&gt;0,ABS([Líquido])/ABS([Quantidade]),0)</f>
        <v>0.26961764705882352</v>
      </c>
      <c r="N8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82" s="12"/>
      <c r="Q82" s="12"/>
      <c r="R82" s="12">
        <f>Tabela1[[#This Row],[Resultado]]+Tabela1[[#This Row],[IRFF]]+Tabela1[[#This Row],[Outras Bovespa]]</f>
        <v>0</v>
      </c>
      <c r="S82" s="10" t="str">
        <f>IF([Quantidade]=0,"D","N")</f>
        <v>N</v>
      </c>
      <c r="T82" s="12">
        <f>IF([Tipo]="Ação",SUMPRODUCT(N([Ano]=Tabela1[[#This Row],[Ano]]),N([Mês]=Tabela1[[#This Row],[Mês]]),N([Quantidade]&lt;0),N([Tipo]="Ação"),ABS([Líquido])),0)</f>
        <v>0</v>
      </c>
    </row>
    <row r="83" spans="1:20">
      <c r="A83" s="10">
        <v>1</v>
      </c>
      <c r="B83" s="10" t="str">
        <f>CONCATENATE(Tabela1[[#This Row],[Papel]],"_",Tabela1[[#This Row],[Trade]])</f>
        <v>OGXPD17_1</v>
      </c>
      <c r="C83" s="4">
        <v>40994</v>
      </c>
      <c r="D83" s="4">
        <f>WORKDAY(Tabela1[[#This Row],[Data]],IF(Tabela1[[#This Row],[Tipo]]="Opção",1,3))</f>
        <v>40995</v>
      </c>
      <c r="E83" s="8">
        <f>DAY(Tabela1[[#This Row],[Data Liquidação]])</f>
        <v>27</v>
      </c>
      <c r="F83" s="5">
        <f>MONTH([Data Liquidação])</f>
        <v>3</v>
      </c>
      <c r="G83" s="8">
        <f>YEAR(Tabela1[[#This Row],[Data Liquidação]])</f>
        <v>2012</v>
      </c>
      <c r="H83" s="5" t="s">
        <v>7</v>
      </c>
      <c r="I83" s="14" t="s">
        <v>71</v>
      </c>
      <c r="J83" s="18" t="s">
        <v>48</v>
      </c>
      <c r="K83" s="10">
        <v>-700</v>
      </c>
      <c r="L83" s="6">
        <v>103.08</v>
      </c>
      <c r="M83" s="14">
        <f>IF([Quantidade]&lt;&gt;0,ABS([Líquido])/ABS([Quantidade]),0)</f>
        <v>0.14725714285714286</v>
      </c>
      <c r="N8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0.62331428571428571</v>
      </c>
      <c r="O8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-333.24</v>
      </c>
      <c r="P83" s="12"/>
      <c r="Q83" s="12"/>
      <c r="R83" s="12">
        <f>Tabela1[[#This Row],[Resultado]]+Tabela1[[#This Row],[IRFF]]+Tabela1[[#This Row],[Outras Bovespa]]</f>
        <v>-333.24</v>
      </c>
      <c r="S83" s="10" t="str">
        <f>IF([Quantidade]=0,"D","N")</f>
        <v>N</v>
      </c>
      <c r="T83" s="12">
        <f>IF([Tipo]="Ação",SUMPRODUCT(N([Ano]=Tabela1[[#This Row],[Ano]]),N([Mês]=Tabela1[[#This Row],[Mês]]),N([Quantidade]&lt;0),N([Tipo]="Ação"),ABS([Líquido])),0)</f>
        <v>0</v>
      </c>
    </row>
    <row r="84" spans="1:20">
      <c r="A84" s="7">
        <v>1</v>
      </c>
      <c r="B84" s="7" t="str">
        <f>CONCATENATE(Tabela1[[#This Row],[Papel]],"_",Tabela1[[#This Row],[Trade]])</f>
        <v>BVMFD12_1</v>
      </c>
      <c r="C84" s="2">
        <v>40997</v>
      </c>
      <c r="D84" s="2">
        <f>WORKDAY(Tabela1[[#This Row],[Data]],IF(Tabela1[[#This Row],[Tipo]]="Opção",1,3))</f>
        <v>40998</v>
      </c>
      <c r="E84" s="9">
        <f>DAY(Tabela1[[#This Row],[Data Liquidação]])</f>
        <v>30</v>
      </c>
      <c r="F84" s="1">
        <f>MONTH([Data Liquidação])</f>
        <v>3</v>
      </c>
      <c r="G84" s="9">
        <f>YEAR(Tabela1[[#This Row],[Data Liquidação]])</f>
        <v>2012</v>
      </c>
      <c r="H84" s="1" t="s">
        <v>7</v>
      </c>
      <c r="I84" s="13" t="s">
        <v>72</v>
      </c>
      <c r="J84" s="17" t="s">
        <v>48</v>
      </c>
      <c r="K84" s="7">
        <v>-1700</v>
      </c>
      <c r="L84" s="3">
        <v>119.84</v>
      </c>
      <c r="M84" s="13">
        <f>IF([Quantidade]&lt;&gt;0,ABS([Líquido])/ABS([Quantidade]),0)</f>
        <v>7.0494117647058832E-2</v>
      </c>
      <c r="N84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0.26961764705882352</v>
      </c>
      <c r="O84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-338.51</v>
      </c>
      <c r="P84" s="11"/>
      <c r="Q84" s="11"/>
      <c r="R84" s="11">
        <f>Tabela1[[#This Row],[Resultado]]+Tabela1[[#This Row],[IRFF]]+Tabela1[[#This Row],[Outras Bovespa]]</f>
        <v>-338.51</v>
      </c>
      <c r="S84" s="7" t="str">
        <f>IF([Quantidade]=0,"D","N")</f>
        <v>N</v>
      </c>
      <c r="T84" s="11">
        <f>IF([Tipo]="Ação",SUMPRODUCT(N([Ano]=Tabela1[[#This Row],[Ano]]),N([Mês]=Tabela1[[#This Row],[Mês]]),N([Quantidade]&lt;0),N([Tipo]="Ação"),ABS([Líquido])),0)</f>
        <v>0</v>
      </c>
    </row>
    <row r="85" spans="1:20">
      <c r="A85" s="10">
        <v>1</v>
      </c>
      <c r="B85" s="10" t="str">
        <f>CONCATENATE(Tabela1[[#This Row],[Papel]],"_",Tabela1[[#This Row],[Trade]])</f>
        <v>OGXPD16_1</v>
      </c>
      <c r="C85" s="2">
        <v>40997</v>
      </c>
      <c r="D85" s="4">
        <f>WORKDAY(Tabela1[[#This Row],[Data]],IF(Tabela1[[#This Row],[Tipo]]="Opção",1,3))</f>
        <v>40998</v>
      </c>
      <c r="E85" s="8">
        <f>DAY(Tabela1[[#This Row],[Data Liquidação]])</f>
        <v>30</v>
      </c>
      <c r="F85" s="5">
        <f>MONTH([Data Liquidação])</f>
        <v>3</v>
      </c>
      <c r="G85" s="8">
        <f>YEAR(Tabela1[[#This Row],[Data Liquidação]])</f>
        <v>2012</v>
      </c>
      <c r="H85" s="5" t="s">
        <v>7</v>
      </c>
      <c r="I85" s="14" t="s">
        <v>73</v>
      </c>
      <c r="J85" s="18" t="s">
        <v>48</v>
      </c>
      <c r="K85" s="10">
        <v>1900</v>
      </c>
      <c r="L85" s="6">
        <v>-472.17</v>
      </c>
      <c r="M85" s="14">
        <f>IF([Quantidade]&lt;&gt;0,ABS([Líquido])/ABS([Quantidade]),0)</f>
        <v>0.24851052631578949</v>
      </c>
      <c r="N8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85" s="12"/>
      <c r="Q85" s="12"/>
      <c r="R85" s="12">
        <f>Tabela1[[#This Row],[Resultado]]+Tabela1[[#This Row],[IRFF]]+Tabela1[[#This Row],[Outras Bovespa]]</f>
        <v>0</v>
      </c>
      <c r="S85" s="10" t="str">
        <f>IF([Quantidade]=0,"D","N")</f>
        <v>N</v>
      </c>
      <c r="T85" s="12">
        <f>IF([Tipo]="Ação",SUMPRODUCT(N([Ano]=Tabela1[[#This Row],[Ano]]),N([Mês]=Tabela1[[#This Row],[Mês]]),N([Quantidade]&lt;0),N([Tipo]="Ação"),ABS([Líquido])),0)</f>
        <v>0</v>
      </c>
    </row>
    <row r="86" spans="1:20">
      <c r="A86" s="10">
        <v>1</v>
      </c>
      <c r="B86" s="10" t="str">
        <f>CONCATENATE(Tabela1[[#This Row],[Papel]],"_",Tabela1[[#This Row],[Trade]])</f>
        <v>PETRD24_1</v>
      </c>
      <c r="C86" s="4">
        <v>40998</v>
      </c>
      <c r="D86" s="4">
        <f>WORKDAY(Tabela1[[#This Row],[Data]],IF(Tabela1[[#This Row],[Tipo]]="Opção",1,3))</f>
        <v>41001</v>
      </c>
      <c r="E86" s="8">
        <f>DAY(Tabela1[[#This Row],[Data Liquidação]])</f>
        <v>2</v>
      </c>
      <c r="F86" s="5">
        <f>MONTH([Data Liquidação])</f>
        <v>4</v>
      </c>
      <c r="G86" s="8">
        <f>YEAR(Tabela1[[#This Row],[Data Liquidação]])</f>
        <v>2012</v>
      </c>
      <c r="H86" s="5" t="s">
        <v>7</v>
      </c>
      <c r="I86" s="14" t="s">
        <v>66</v>
      </c>
      <c r="J86" s="18" t="s">
        <v>48</v>
      </c>
      <c r="K86" s="10">
        <v>1200</v>
      </c>
      <c r="L86" s="6">
        <v>-472.36</v>
      </c>
      <c r="M86" s="14">
        <f>IF([Quantidade]&lt;&gt;0,ABS([Líquido])/ABS([Quantidade]),0)</f>
        <v>0.39363333333333334</v>
      </c>
      <c r="N8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0.88075000000000003</v>
      </c>
      <c r="O8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86" s="12"/>
      <c r="Q86" s="12"/>
      <c r="R86" s="12">
        <f>Tabela1[[#This Row],[Resultado]]+Tabela1[[#This Row],[IRFF]]+Tabela1[[#This Row],[Outras Bovespa]]</f>
        <v>0</v>
      </c>
      <c r="S86" s="10" t="str">
        <f>IF([Quantidade]=0,"D","N")</f>
        <v>N</v>
      </c>
      <c r="T86" s="12">
        <f>IF([Tipo]="Ação",SUMPRODUCT(N([Ano]=Tabela1[[#This Row],[Ano]]),N([Mês]=Tabela1[[#This Row],[Mês]]),N([Quantidade]&lt;0),N([Tipo]="Ação"),ABS([Líquido])),0)</f>
        <v>0</v>
      </c>
    </row>
    <row r="87" spans="1:20">
      <c r="A87" s="10">
        <v>2</v>
      </c>
      <c r="B87" s="10" t="str">
        <f>CONCATENATE(Tabela1[[#This Row],[Papel]],"_",Tabela1[[#This Row],[Trade]])</f>
        <v>BVMFD12_2</v>
      </c>
      <c r="C87" s="4">
        <v>41001</v>
      </c>
      <c r="D87" s="4">
        <f>WORKDAY(Tabela1[[#This Row],[Data]],IF(Tabela1[[#This Row],[Tipo]]="Opção",1,3))</f>
        <v>41002</v>
      </c>
      <c r="E87" s="8">
        <f>DAY(Tabela1[[#This Row],[Data Liquidação]])</f>
        <v>3</v>
      </c>
      <c r="F87" s="5">
        <f>MONTH([Data Liquidação])</f>
        <v>4</v>
      </c>
      <c r="G87" s="8">
        <f>YEAR(Tabela1[[#This Row],[Data Liquidação]])</f>
        <v>2012</v>
      </c>
      <c r="H87" s="5" t="s">
        <v>7</v>
      </c>
      <c r="I87" s="14" t="s">
        <v>72</v>
      </c>
      <c r="J87" s="18" t="s">
        <v>48</v>
      </c>
      <c r="K87" s="10">
        <v>3000</v>
      </c>
      <c r="L87" s="6">
        <v>-496.4</v>
      </c>
      <c r="M87" s="14">
        <f>IF([Quantidade]&lt;&gt;0,ABS([Líquido])/ABS([Quantidade]),0)</f>
        <v>0.16546666666666665</v>
      </c>
      <c r="N8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87" s="12"/>
      <c r="Q87" s="12"/>
      <c r="R87" s="12">
        <f>Tabela1[[#This Row],[Resultado]]+Tabela1[[#This Row],[IRFF]]+Tabela1[[#This Row],[Outras Bovespa]]</f>
        <v>0</v>
      </c>
      <c r="S87" s="10" t="str">
        <f>IF([Quantidade]=0,"D","N")</f>
        <v>N</v>
      </c>
      <c r="T87" s="12">
        <f>IF([Tipo]="Ação",SUMPRODUCT(N([Ano]=Tabela1[[#This Row],[Ano]]),N([Mês]=Tabela1[[#This Row],[Mês]]),N([Quantidade]&lt;0),N([Tipo]="Ação"),ABS([Líquido])),0)</f>
        <v>0</v>
      </c>
    </row>
    <row r="88" spans="1:20">
      <c r="A88" s="10">
        <v>1</v>
      </c>
      <c r="B88" s="10" t="str">
        <f>CONCATENATE(Tabela1[[#This Row],[Papel]],"_",Tabela1[[#This Row],[Trade]])</f>
        <v>OGXPD16_1</v>
      </c>
      <c r="C88" s="4">
        <v>41002</v>
      </c>
      <c r="D88" s="4">
        <f>WORKDAY(Tabela1[[#This Row],[Data]],IF(Tabela1[[#This Row],[Tipo]]="Opção",1,3))</f>
        <v>41003</v>
      </c>
      <c r="E88" s="8">
        <f>DAY(Tabela1[[#This Row],[Data Liquidação]])</f>
        <v>4</v>
      </c>
      <c r="F88" s="5">
        <f>MONTH([Data Liquidação])</f>
        <v>4</v>
      </c>
      <c r="G88" s="8">
        <f>YEAR(Tabela1[[#This Row],[Data Liquidação]])</f>
        <v>2012</v>
      </c>
      <c r="H88" s="5" t="s">
        <v>7</v>
      </c>
      <c r="I88" s="14" t="s">
        <v>73</v>
      </c>
      <c r="J88" s="18" t="s">
        <v>48</v>
      </c>
      <c r="K88" s="10">
        <v>-1900</v>
      </c>
      <c r="L88" s="6">
        <v>155.02000000000001</v>
      </c>
      <c r="M88" s="14">
        <f>IF([Quantidade]&lt;&gt;0,ABS([Líquido])/ABS([Quantidade]),0)</f>
        <v>8.1589473684210531E-2</v>
      </c>
      <c r="N8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0.24851052631578949</v>
      </c>
      <c r="O8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-317.15000000000003</v>
      </c>
      <c r="P88" s="12"/>
      <c r="Q88" s="12"/>
      <c r="R88" s="12">
        <f>Tabela1[[#This Row],[Resultado]]+Tabela1[[#This Row],[IRFF]]+Tabela1[[#This Row],[Outras Bovespa]]</f>
        <v>-317.15000000000003</v>
      </c>
      <c r="S88" s="10" t="str">
        <f>IF([Quantidade]=0,"D","N")</f>
        <v>N</v>
      </c>
      <c r="T88" s="12">
        <f>IF([Tipo]="Ação",SUMPRODUCT(N([Ano]=Tabela1[[#This Row],[Ano]]),N([Mês]=Tabela1[[#This Row],[Mês]]),N([Quantidade]&lt;0),N([Tipo]="Ação"),ABS([Líquido])),0)</f>
        <v>0</v>
      </c>
    </row>
    <row r="89" spans="1:20">
      <c r="A89" s="10">
        <v>1</v>
      </c>
      <c r="B89" s="10" t="str">
        <f>CONCATENATE(Tabela1[[#This Row],[Papel]],"_",Tabela1[[#This Row],[Trade]])</f>
        <v>PETRD24_1</v>
      </c>
      <c r="C89" s="4">
        <v>41003</v>
      </c>
      <c r="D89" s="4">
        <f>WORKDAY(Tabela1[[#This Row],[Data]],IF(Tabela1[[#This Row],[Tipo]]="Opção",1,3))</f>
        <v>41004</v>
      </c>
      <c r="E89" s="8">
        <f>DAY(Tabela1[[#This Row],[Data Liquidação]])</f>
        <v>5</v>
      </c>
      <c r="F89" s="5">
        <f>MONTH([Data Liquidação])</f>
        <v>4</v>
      </c>
      <c r="G89" s="8">
        <f>YEAR(Tabela1[[#This Row],[Data Liquidação]])</f>
        <v>2012</v>
      </c>
      <c r="H89" s="5" t="s">
        <v>7</v>
      </c>
      <c r="I89" s="14" t="s">
        <v>66</v>
      </c>
      <c r="J89" s="18" t="s">
        <v>48</v>
      </c>
      <c r="K89" s="10">
        <v>-1300</v>
      </c>
      <c r="L89" s="6">
        <v>49.16</v>
      </c>
      <c r="M89" s="14">
        <f>IF([Quantidade]&lt;&gt;0,ABS([Líquido])/ABS([Quantidade]),0)</f>
        <v>3.7815384615384612E-2</v>
      </c>
      <c r="N8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0.46322142857142856</v>
      </c>
      <c r="O8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-553.02785714285721</v>
      </c>
      <c r="P89" s="12"/>
      <c r="Q89" s="12"/>
      <c r="R89" s="12">
        <f>Tabela1[[#This Row],[Resultado]]+Tabela1[[#This Row],[IRFF]]+Tabela1[[#This Row],[Outras Bovespa]]</f>
        <v>-553.02785714285721</v>
      </c>
      <c r="S89" s="10" t="str">
        <f>IF([Quantidade]=0,"D","N")</f>
        <v>N</v>
      </c>
      <c r="T89" s="12">
        <f>IF([Tipo]="Ação",SUMPRODUCT(N([Ano]=Tabela1[[#This Row],[Ano]]),N([Mês]=Tabela1[[#This Row],[Mês]]),N([Quantidade]&lt;0),N([Tipo]="Ação"),ABS([Líquido])),0)</f>
        <v>0</v>
      </c>
    </row>
    <row r="90" spans="1:20">
      <c r="A90" s="10">
        <v>1</v>
      </c>
      <c r="B90" s="10" t="str">
        <f>CONCATENATE(Tabela1[[#This Row],[Papel]],"_",Tabela1[[#This Row],[Trade]])</f>
        <v>VALED42_1</v>
      </c>
      <c r="C90" s="4">
        <v>41004</v>
      </c>
      <c r="D90" s="4">
        <f>WORKDAY(Tabela1[[#This Row],[Data]],IF(Tabela1[[#This Row],[Tipo]]="Opção",1,3))</f>
        <v>41005</v>
      </c>
      <c r="E90" s="8">
        <f>DAY(Tabela1[[#This Row],[Data Liquidação]])</f>
        <v>6</v>
      </c>
      <c r="F90" s="5">
        <f>MONTH([Data Liquidação])</f>
        <v>4</v>
      </c>
      <c r="G90" s="8">
        <f>YEAR(Tabela1[[#This Row],[Data Liquidação]])</f>
        <v>2012</v>
      </c>
      <c r="H90" s="5" t="s">
        <v>7</v>
      </c>
      <c r="I90" s="14" t="s">
        <v>74</v>
      </c>
      <c r="J90" s="18" t="s">
        <v>48</v>
      </c>
      <c r="K90" s="10">
        <v>800</v>
      </c>
      <c r="L90" s="6">
        <v>-416.29</v>
      </c>
      <c r="M90" s="14">
        <f>IF([Quantidade]&lt;&gt;0,ABS([Líquido])/ABS([Quantidade]),0)</f>
        <v>0.52036250000000006</v>
      </c>
      <c r="N9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P90" s="12"/>
      <c r="Q90" s="12"/>
      <c r="R90" s="12">
        <f>Tabela1[[#This Row],[Resultado]]+Tabela1[[#This Row],[IRFF]]+Tabela1[[#This Row],[Outras Bovespa]]</f>
        <v>0</v>
      </c>
      <c r="S90" s="10" t="str">
        <f>IF([Quantidade]=0,"D","N")</f>
        <v>N</v>
      </c>
      <c r="T90" s="12">
        <f>IF([Tipo]="Ação",SUMPRODUCT(N([Ano]=Tabela1[[#This Row],[Ano]]),N([Mês]=Tabela1[[#This Row],[Mês]]),N([Quantidade]&lt;0),N([Tipo]="Ação"),ABS([Líquido])),0)</f>
        <v>0</v>
      </c>
    </row>
    <row r="91" spans="1:20">
      <c r="A91" s="10">
        <v>1</v>
      </c>
      <c r="B91" s="10" t="str">
        <f>CONCATENATE(Tabela1[[#This Row],[Papel]],"_",Tabela1[[#This Row],[Trade]])</f>
        <v>VALED42_1</v>
      </c>
      <c r="C91" s="4">
        <v>41011</v>
      </c>
      <c r="D91" s="4">
        <f>WORKDAY(Tabela1[[#This Row],[Data]],IF(Tabela1[[#This Row],[Tipo]]="Opção",1,3))</f>
        <v>41012</v>
      </c>
      <c r="E91" s="8">
        <f>DAY(Tabela1[[#This Row],[Data Liquidação]])</f>
        <v>13</v>
      </c>
      <c r="F91" s="5">
        <f>MONTH([Data Liquidação])</f>
        <v>4</v>
      </c>
      <c r="G91" s="8">
        <f>YEAR(Tabela1[[#This Row],[Data Liquidação]])</f>
        <v>2012</v>
      </c>
      <c r="H91" s="5" t="s">
        <v>7</v>
      </c>
      <c r="I91" s="14" t="s">
        <v>74</v>
      </c>
      <c r="J91" s="18" t="s">
        <v>48</v>
      </c>
      <c r="K91" s="10">
        <v>-800</v>
      </c>
      <c r="L91" s="6">
        <v>783.17</v>
      </c>
      <c r="M91" s="14">
        <f>IF([Quantidade]&lt;&gt;0,ABS([Líquido])/ABS([Quantidade]),0)</f>
        <v>0.97896249999999996</v>
      </c>
      <c r="N9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0.52036250000000006</v>
      </c>
      <c r="O9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366.87999999999994</v>
      </c>
      <c r="P91" s="12"/>
      <c r="Q91" s="12"/>
      <c r="R91" s="12">
        <f>Tabela1[[#This Row],[Resultado]]+Tabela1[[#This Row],[IRFF]]+Tabela1[[#This Row],[Outras Bovespa]]</f>
        <v>366.87999999999994</v>
      </c>
      <c r="S91" s="10" t="str">
        <f>IF([Quantidade]=0,"D","N")</f>
        <v>N</v>
      </c>
      <c r="T91" s="12">
        <f>IF([Tipo]="Ação",SUMPRODUCT(N([Ano]=Tabela1[[#This Row],[Ano]]),N([Mês]=Tabela1[[#This Row],[Mês]]),N([Quantidade]&lt;0),N([Tipo]="Ação"),ABS([Líquido])),0)</f>
        <v>0</v>
      </c>
    </row>
    <row r="92" spans="1:20">
      <c r="A92" s="10">
        <v>2</v>
      </c>
      <c r="B92" s="10" t="str">
        <f>CONCATENATE(Tabela1[[#This Row],[Papel]],"_",Tabela1[[#This Row],[Trade]])</f>
        <v>BVMFD12_2</v>
      </c>
      <c r="C92" s="4">
        <v>41015</v>
      </c>
      <c r="D92" s="4">
        <f>WORKDAY(Tabela1[[#This Row],[Data]],IF(Tabela1[[#This Row],[Tipo]]="Opção",1,3))</f>
        <v>41016</v>
      </c>
      <c r="E92" s="8">
        <f>DAY(Tabela1[[#This Row],[Data Liquidação]])</f>
        <v>17</v>
      </c>
      <c r="F92" s="5">
        <f>MONTH([Data Liquidação])</f>
        <v>4</v>
      </c>
      <c r="G92" s="8">
        <f>YEAR(Tabela1[[#This Row],[Data Liquidação]])</f>
        <v>2012</v>
      </c>
      <c r="H92" s="5" t="s">
        <v>7</v>
      </c>
      <c r="I92" s="14" t="s">
        <v>72</v>
      </c>
      <c r="J92" s="18" t="s">
        <v>48</v>
      </c>
      <c r="K92" s="10">
        <v>-3000</v>
      </c>
      <c r="L92" s="6">
        <v>0</v>
      </c>
      <c r="M92" s="14">
        <f>IF([Quantidade]&lt;&gt;0,ABS([Líquido])/ABS([Quantidade]),0)</f>
        <v>0</v>
      </c>
      <c r="N9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0.16546666666666665</v>
      </c>
      <c r="O9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-496.4</v>
      </c>
      <c r="P92" s="12"/>
      <c r="Q92" s="12"/>
      <c r="R92" s="12">
        <f>Tabela1[[#This Row],[Resultado]]+Tabela1[[#This Row],[IRFF]]+Tabela1[[#This Row],[Outras Bovespa]]</f>
        <v>-496.4</v>
      </c>
      <c r="S92" s="10" t="str">
        <f>IF([Quantidade]=0,"D","N")</f>
        <v>N</v>
      </c>
      <c r="T92" s="12">
        <f>IF([Tipo]="Ação",SUMPRODUCT(N([Ano]=Tabela1[[#This Row],[Ano]]),N([Mês]=Tabela1[[#This Row],[Mês]]),N([Quantidade]&lt;0),N([Tipo]="Ação"),ABS([Líquido])),0)</f>
        <v>0</v>
      </c>
    </row>
    <row r="93" spans="1:20">
      <c r="A93" s="1" t="s">
        <v>25</v>
      </c>
      <c r="B93" s="1"/>
      <c r="E93" s="1"/>
      <c r="I93" s="1"/>
      <c r="J93" s="1"/>
      <c r="L93" s="11">
        <f>SUBTOTAL(109,[Líquido])</f>
        <v>-7934.0099999999966</v>
      </c>
      <c r="N93" s="7"/>
      <c r="O93" s="11">
        <f>SUBTOTAL(109,[Resultado])</f>
        <v>-4512.3928571428587</v>
      </c>
      <c r="P93" s="41">
        <f>Tabela1[[#Totals],[Resultado]]/ABS(Tabela1[[#Totals],[Líquido]])</f>
        <v>-0.56874050538666587</v>
      </c>
      <c r="R93" s="11">
        <f>SUBTOTAL(109,[Base IR])</f>
        <v>-4486.9928571428582</v>
      </c>
      <c r="S93" s="1">
        <f>SUBTOTAL(103,[N/D])</f>
        <v>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J8"/>
  <sheetViews>
    <sheetView topLeftCell="A4" workbookViewId="0">
      <selection activeCell="C13" sqref="C13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10.5703125" customWidth="1"/>
    <col min="5" max="5" width="12.85546875" bestFit="1" customWidth="1"/>
    <col min="6" max="6" width="14.28515625" bestFit="1" customWidth="1"/>
    <col min="7" max="7" width="12.140625" bestFit="1" customWidth="1"/>
    <col min="8" max="8" width="13.7109375" bestFit="1" customWidth="1"/>
    <col min="9" max="9" width="14" bestFit="1" customWidth="1"/>
    <col min="10" max="10" width="19.28515625" bestFit="1" customWidth="1"/>
  </cols>
  <sheetData>
    <row r="3" spans="1:10">
      <c r="B3" s="20" t="s">
        <v>41</v>
      </c>
    </row>
    <row r="4" spans="1:10">
      <c r="B4" t="s">
        <v>58</v>
      </c>
      <c r="D4" t="s">
        <v>56</v>
      </c>
      <c r="F4" t="s">
        <v>54</v>
      </c>
      <c r="H4" t="s">
        <v>59</v>
      </c>
      <c r="I4" t="s">
        <v>57</v>
      </c>
      <c r="J4" t="s">
        <v>55</v>
      </c>
    </row>
    <row r="5" spans="1:10">
      <c r="A5" s="20" t="s">
        <v>35</v>
      </c>
      <c r="B5" t="s">
        <v>36</v>
      </c>
      <c r="C5" t="s">
        <v>37</v>
      </c>
      <c r="D5" t="s">
        <v>36</v>
      </c>
      <c r="E5" t="s">
        <v>37</v>
      </c>
      <c r="F5" t="s">
        <v>36</v>
      </c>
      <c r="G5" t="s">
        <v>37</v>
      </c>
    </row>
    <row r="6" spans="1:10">
      <c r="A6" s="21" t="s">
        <v>32</v>
      </c>
      <c r="B6" s="19">
        <v>-34.940000000000005</v>
      </c>
      <c r="C6" s="19">
        <v>-1690.6200000000003</v>
      </c>
      <c r="D6" s="19">
        <v>-36.1</v>
      </c>
      <c r="E6" s="19">
        <v>-5153.9899999999971</v>
      </c>
      <c r="F6" s="19">
        <v>3095.6400000000003</v>
      </c>
      <c r="G6" s="19">
        <v>5131.1400000000003</v>
      </c>
      <c r="H6" s="19">
        <v>-1725.5600000000004</v>
      </c>
      <c r="I6" s="19">
        <v>-5190.0899999999974</v>
      </c>
      <c r="J6" s="19">
        <v>5131.1400000000003</v>
      </c>
    </row>
    <row r="7" spans="1:10">
      <c r="A7" s="21" t="s">
        <v>7</v>
      </c>
      <c r="B7" s="19">
        <v>172.57</v>
      </c>
      <c r="C7" s="19">
        <v>-2934.0028571428575</v>
      </c>
      <c r="D7" s="19">
        <v>148.32999999999998</v>
      </c>
      <c r="E7" s="19">
        <v>-2892.2500000000005</v>
      </c>
      <c r="F7" s="19">
        <v>0</v>
      </c>
      <c r="G7" s="19">
        <v>0</v>
      </c>
      <c r="H7" s="19">
        <v>-2761.4328571428578</v>
      </c>
      <c r="I7" s="19">
        <v>-2743.9200000000005</v>
      </c>
      <c r="J7" s="19">
        <v>0</v>
      </c>
    </row>
    <row r="8" spans="1:10">
      <c r="A8" s="21" t="s">
        <v>38</v>
      </c>
      <c r="B8" s="19">
        <v>137.62999999999994</v>
      </c>
      <c r="C8" s="19">
        <v>-4624.6228571428583</v>
      </c>
      <c r="D8" s="19">
        <v>112.22999999999996</v>
      </c>
      <c r="E8" s="19">
        <v>-8046.2399999999961</v>
      </c>
      <c r="F8" s="19">
        <v>3095.6400000000003</v>
      </c>
      <c r="G8" s="19">
        <v>5131.1400000000003</v>
      </c>
      <c r="H8" s="19">
        <v>-4486.9928571428582</v>
      </c>
      <c r="I8" s="19">
        <v>-7934.0099999999984</v>
      </c>
      <c r="J8" s="19">
        <v>5131.1400000000003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Operações</vt:lpstr>
      <vt:lpstr>Plan4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2014-02-25T22:03:13Z</dcterms:modified>
</cp:coreProperties>
</file>