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6210" activeTab="2"/>
  </bookViews>
  <sheets>
    <sheet name="PRE MILHAO" sheetId="1" r:id="rId1"/>
    <sheet name="POS MILHAO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14" i="3"/>
  <c r="D15"/>
  <c r="D16"/>
  <c r="D17"/>
  <c r="D18"/>
  <c r="D19"/>
  <c r="D20"/>
  <c r="D21"/>
  <c r="D22"/>
  <c r="D23"/>
  <c r="D24"/>
  <c r="D25"/>
  <c r="E14"/>
  <c r="E15"/>
  <c r="E16"/>
  <c r="E17"/>
  <c r="E18"/>
  <c r="E19"/>
  <c r="E20"/>
  <c r="E21"/>
  <c r="E22"/>
  <c r="E23"/>
  <c r="E24"/>
  <c r="E25"/>
  <c r="F14"/>
  <c r="F15"/>
  <c r="F16"/>
  <c r="F17"/>
  <c r="F18"/>
  <c r="F19"/>
  <c r="F20"/>
  <c r="F21"/>
  <c r="F22"/>
  <c r="F23"/>
  <c r="F24"/>
  <c r="F25"/>
  <c r="G14"/>
  <c r="G15"/>
  <c r="G16"/>
  <c r="G17"/>
  <c r="G18"/>
  <c r="G19"/>
  <c r="G20"/>
  <c r="G21"/>
  <c r="G22"/>
  <c r="G23"/>
  <c r="G24"/>
  <c r="G25"/>
  <c r="I14"/>
  <c r="H14" s="1"/>
  <c r="K14" s="1"/>
  <c r="I15"/>
  <c r="H15" s="1"/>
  <c r="K15" s="1"/>
  <c r="I16"/>
  <c r="H16" s="1"/>
  <c r="K16" s="1"/>
  <c r="I17"/>
  <c r="H17" s="1"/>
  <c r="K17" s="1"/>
  <c r="I18"/>
  <c r="H18" s="1"/>
  <c r="K18" s="1"/>
  <c r="I19"/>
  <c r="H19" s="1"/>
  <c r="K19" s="1"/>
  <c r="I20"/>
  <c r="H20" s="1"/>
  <c r="K20" s="1"/>
  <c r="I21"/>
  <c r="H21" s="1"/>
  <c r="K21" s="1"/>
  <c r="I22"/>
  <c r="H22" s="1"/>
  <c r="K22" s="1"/>
  <c r="I23"/>
  <c r="H23" s="1"/>
  <c r="K23" s="1"/>
  <c r="I24"/>
  <c r="H24" s="1"/>
  <c r="K24" s="1"/>
  <c r="I25"/>
  <c r="H25" s="1"/>
  <c r="K25" s="1"/>
  <c r="D12"/>
  <c r="D13"/>
  <c r="E12"/>
  <c r="E13"/>
  <c r="F12"/>
  <c r="F13"/>
  <c r="G12"/>
  <c r="G13"/>
  <c r="I12"/>
  <c r="H12" s="1"/>
  <c r="K12" s="1"/>
  <c r="I13"/>
  <c r="H13" s="1"/>
  <c r="K13" s="1"/>
  <c r="D5"/>
  <c r="D6"/>
  <c r="D7"/>
  <c r="D8"/>
  <c r="D9"/>
  <c r="D10"/>
  <c r="D11"/>
  <c r="E5"/>
  <c r="E6"/>
  <c r="E7"/>
  <c r="E8"/>
  <c r="E9"/>
  <c r="E10"/>
  <c r="E11"/>
  <c r="F5"/>
  <c r="F6"/>
  <c r="F7"/>
  <c r="F8"/>
  <c r="F9"/>
  <c r="F10"/>
  <c r="F11"/>
  <c r="G5"/>
  <c r="G6"/>
  <c r="G7"/>
  <c r="G8"/>
  <c r="G9"/>
  <c r="G10"/>
  <c r="G11"/>
  <c r="I5"/>
  <c r="H5" s="1"/>
  <c r="K5" s="1"/>
  <c r="I6"/>
  <c r="H6" s="1"/>
  <c r="K6" s="1"/>
  <c r="I7"/>
  <c r="H7" s="1"/>
  <c r="K7" s="1"/>
  <c r="I8"/>
  <c r="H8" s="1"/>
  <c r="K8" s="1"/>
  <c r="I9"/>
  <c r="H9" s="1"/>
  <c r="K9" s="1"/>
  <c r="I10"/>
  <c r="H10" s="1"/>
  <c r="K10" s="1"/>
  <c r="I11"/>
  <c r="H11" s="1"/>
  <c r="K11" s="1"/>
  <c r="D4"/>
  <c r="D3"/>
  <c r="D2"/>
  <c r="D80" i="2"/>
  <c r="D81"/>
  <c r="E80"/>
  <c r="E81"/>
  <c r="G80"/>
  <c r="F80" s="1"/>
  <c r="I80" s="1"/>
  <c r="G81"/>
  <c r="F81" s="1"/>
  <c r="I81" s="1"/>
  <c r="D78"/>
  <c r="D79"/>
  <c r="E78"/>
  <c r="E79"/>
  <c r="G78"/>
  <c r="F78" s="1"/>
  <c r="I78" s="1"/>
  <c r="G79"/>
  <c r="F79" s="1"/>
  <c r="I79" s="1"/>
  <c r="D74"/>
  <c r="D75"/>
  <c r="D76"/>
  <c r="D77"/>
  <c r="E74"/>
  <c r="E75"/>
  <c r="E76"/>
  <c r="E77"/>
  <c r="G74"/>
  <c r="F74" s="1"/>
  <c r="I74" s="1"/>
  <c r="G75"/>
  <c r="F75" s="1"/>
  <c r="I75" s="1"/>
  <c r="G76"/>
  <c r="F76" s="1"/>
  <c r="I76" s="1"/>
  <c r="G77"/>
  <c r="F77" s="1"/>
  <c r="I77" s="1"/>
  <c r="D62"/>
  <c r="D63"/>
  <c r="D64"/>
  <c r="D65"/>
  <c r="D66"/>
  <c r="D67"/>
  <c r="D68"/>
  <c r="D69"/>
  <c r="D70"/>
  <c r="D71"/>
  <c r="D72"/>
  <c r="D73"/>
  <c r="E62"/>
  <c r="E63"/>
  <c r="E64"/>
  <c r="E65"/>
  <c r="E66"/>
  <c r="E67"/>
  <c r="E68"/>
  <c r="E69"/>
  <c r="E70"/>
  <c r="E71"/>
  <c r="E72"/>
  <c r="E73"/>
  <c r="G62"/>
  <c r="F62" s="1"/>
  <c r="I62" s="1"/>
  <c r="G63"/>
  <c r="F63" s="1"/>
  <c r="I63" s="1"/>
  <c r="G64"/>
  <c r="F64" s="1"/>
  <c r="I64" s="1"/>
  <c r="G65"/>
  <c r="F65" s="1"/>
  <c r="I65" s="1"/>
  <c r="G66"/>
  <c r="F66" s="1"/>
  <c r="I66" s="1"/>
  <c r="G67"/>
  <c r="F67" s="1"/>
  <c r="I67" s="1"/>
  <c r="G68"/>
  <c r="F68" s="1"/>
  <c r="I68" s="1"/>
  <c r="G69"/>
  <c r="F69" s="1"/>
  <c r="I69" s="1"/>
  <c r="G70"/>
  <c r="F70" s="1"/>
  <c r="I70" s="1"/>
  <c r="G71"/>
  <c r="F71" s="1"/>
  <c r="I71" s="1"/>
  <c r="G72"/>
  <c r="F72" s="1"/>
  <c r="I72" s="1"/>
  <c r="G73"/>
  <c r="F73" s="1"/>
  <c r="I73" s="1"/>
  <c r="D50"/>
  <c r="D51"/>
  <c r="D52"/>
  <c r="D53"/>
  <c r="D54"/>
  <c r="D55"/>
  <c r="D56"/>
  <c r="D57"/>
  <c r="D58"/>
  <c r="D59"/>
  <c r="D60"/>
  <c r="D61"/>
  <c r="E50"/>
  <c r="E51"/>
  <c r="E52"/>
  <c r="E53"/>
  <c r="E54"/>
  <c r="E55"/>
  <c r="E56"/>
  <c r="E57"/>
  <c r="E58"/>
  <c r="E59"/>
  <c r="E60"/>
  <c r="E61"/>
  <c r="G50"/>
  <c r="F50" s="1"/>
  <c r="I50" s="1"/>
  <c r="G51"/>
  <c r="F51" s="1"/>
  <c r="I51" s="1"/>
  <c r="G52"/>
  <c r="F52" s="1"/>
  <c r="I52" s="1"/>
  <c r="G53"/>
  <c r="F53" s="1"/>
  <c r="I53" s="1"/>
  <c r="G54"/>
  <c r="F54" s="1"/>
  <c r="I54" s="1"/>
  <c r="G55"/>
  <c r="F55" s="1"/>
  <c r="I55" s="1"/>
  <c r="G56"/>
  <c r="F56" s="1"/>
  <c r="I56" s="1"/>
  <c r="G57"/>
  <c r="F57" s="1"/>
  <c r="I57" s="1"/>
  <c r="G58"/>
  <c r="F58" s="1"/>
  <c r="I58" s="1"/>
  <c r="G59"/>
  <c r="F59" s="1"/>
  <c r="I59" s="1"/>
  <c r="G60"/>
  <c r="F60" s="1"/>
  <c r="I60" s="1"/>
  <c r="G61"/>
  <c r="F61" s="1"/>
  <c r="I61" s="1"/>
  <c r="D49"/>
  <c r="E49"/>
  <c r="G49"/>
  <c r="F49" s="1"/>
  <c r="I49" s="1"/>
  <c r="D38"/>
  <c r="D39"/>
  <c r="D40"/>
  <c r="D41"/>
  <c r="D42"/>
  <c r="D43"/>
  <c r="D44"/>
  <c r="D45"/>
  <c r="D46"/>
  <c r="D47"/>
  <c r="D48"/>
  <c r="E38"/>
  <c r="E39"/>
  <c r="E40"/>
  <c r="E41"/>
  <c r="E42"/>
  <c r="E43"/>
  <c r="E44"/>
  <c r="E45"/>
  <c r="E46"/>
  <c r="E47"/>
  <c r="E48"/>
  <c r="G38"/>
  <c r="F38" s="1"/>
  <c r="I38" s="1"/>
  <c r="G39"/>
  <c r="F39" s="1"/>
  <c r="I39" s="1"/>
  <c r="G40"/>
  <c r="F40" s="1"/>
  <c r="I40" s="1"/>
  <c r="G41"/>
  <c r="F41" s="1"/>
  <c r="I41" s="1"/>
  <c r="G42"/>
  <c r="F42" s="1"/>
  <c r="I42" s="1"/>
  <c r="G43"/>
  <c r="F43" s="1"/>
  <c r="I43" s="1"/>
  <c r="G44"/>
  <c r="F44" s="1"/>
  <c r="I44" s="1"/>
  <c r="G45"/>
  <c r="F45" s="1"/>
  <c r="I45" s="1"/>
  <c r="G46"/>
  <c r="F46" s="1"/>
  <c r="I46" s="1"/>
  <c r="G47"/>
  <c r="F47" s="1"/>
  <c r="I47" s="1"/>
  <c r="G48"/>
  <c r="F48" s="1"/>
  <c r="I48" s="1"/>
  <c r="D34"/>
  <c r="D35"/>
  <c r="D36"/>
  <c r="D37"/>
  <c r="E34"/>
  <c r="E35"/>
  <c r="E36"/>
  <c r="E37"/>
  <c r="G34"/>
  <c r="F34" s="1"/>
  <c r="I34" s="1"/>
  <c r="G35"/>
  <c r="F35" s="1"/>
  <c r="I35" s="1"/>
  <c r="G36"/>
  <c r="F36" s="1"/>
  <c r="I36" s="1"/>
  <c r="G37"/>
  <c r="F37" s="1"/>
  <c r="I37" s="1"/>
  <c r="D33"/>
  <c r="E33"/>
  <c r="G33"/>
  <c r="F33" s="1"/>
  <c r="I33" s="1"/>
  <c r="D32"/>
  <c r="E32"/>
  <c r="G32"/>
  <c r="F32" s="1"/>
  <c r="I32" s="1"/>
  <c r="D26"/>
  <c r="D27"/>
  <c r="D28"/>
  <c r="D29"/>
  <c r="D30"/>
  <c r="D31"/>
  <c r="E26"/>
  <c r="E27"/>
  <c r="E28"/>
  <c r="E29"/>
  <c r="E30"/>
  <c r="E31"/>
  <c r="G26"/>
  <c r="F26" s="1"/>
  <c r="I26" s="1"/>
  <c r="G27"/>
  <c r="F27" s="1"/>
  <c r="I27" s="1"/>
  <c r="G28"/>
  <c r="F28" s="1"/>
  <c r="I28" s="1"/>
  <c r="G29"/>
  <c r="F29" s="1"/>
  <c r="I29" s="1"/>
  <c r="G30"/>
  <c r="F30" s="1"/>
  <c r="I30" s="1"/>
  <c r="G31"/>
  <c r="F31" s="1"/>
  <c r="I31" s="1"/>
  <c r="D20"/>
  <c r="D21"/>
  <c r="D22"/>
  <c r="D23"/>
  <c r="D24"/>
  <c r="D25"/>
  <c r="E20"/>
  <c r="E21"/>
  <c r="E22"/>
  <c r="E23"/>
  <c r="E24"/>
  <c r="E25"/>
  <c r="G20"/>
  <c r="F20" s="1"/>
  <c r="I20" s="1"/>
  <c r="G21"/>
  <c r="F21" s="1"/>
  <c r="I21" s="1"/>
  <c r="G22"/>
  <c r="F22" s="1"/>
  <c r="I22" s="1"/>
  <c r="G23"/>
  <c r="F23" s="1"/>
  <c r="I23" s="1"/>
  <c r="G24"/>
  <c r="F24" s="1"/>
  <c r="I24" s="1"/>
  <c r="G25"/>
  <c r="F25" s="1"/>
  <c r="I25" s="1"/>
  <c r="D14"/>
  <c r="D15"/>
  <c r="D16"/>
  <c r="D17"/>
  <c r="D18"/>
  <c r="D19"/>
  <c r="E14"/>
  <c r="E15"/>
  <c r="E16"/>
  <c r="E17"/>
  <c r="E18"/>
  <c r="E19"/>
  <c r="G14"/>
  <c r="F14" s="1"/>
  <c r="I14" s="1"/>
  <c r="G15"/>
  <c r="F15" s="1"/>
  <c r="I15" s="1"/>
  <c r="G16"/>
  <c r="F16" s="1"/>
  <c r="I16" s="1"/>
  <c r="G17"/>
  <c r="F17" s="1"/>
  <c r="I17" s="1"/>
  <c r="G18"/>
  <c r="F18" s="1"/>
  <c r="I18" s="1"/>
  <c r="G19"/>
  <c r="F19" s="1"/>
  <c r="I19" s="1"/>
  <c r="D13"/>
  <c r="G13" s="1"/>
  <c r="D12"/>
  <c r="G12" s="1"/>
  <c r="D11"/>
  <c r="G11" s="1"/>
  <c r="D10"/>
  <c r="G10" s="1"/>
  <c r="D9"/>
  <c r="G9" s="1"/>
  <c r="D8"/>
  <c r="G8" s="1"/>
  <c r="D7"/>
  <c r="G7" s="1"/>
  <c r="D6"/>
  <c r="G6" s="1"/>
  <c r="D5"/>
  <c r="G5" s="1"/>
  <c r="D4"/>
  <c r="G4" s="1"/>
  <c r="D3"/>
  <c r="G3" s="1"/>
  <c r="D2"/>
  <c r="G2" s="1"/>
  <c r="H50" s="1"/>
  <c r="E2" i="1"/>
  <c r="E3"/>
  <c r="E4"/>
  <c r="E5"/>
  <c r="E6"/>
  <c r="E7"/>
  <c r="E8"/>
  <c r="E9"/>
  <c r="E10"/>
  <c r="E11"/>
  <c r="E12"/>
  <c r="E13"/>
  <c r="D14"/>
  <c r="G14" s="1"/>
  <c r="F14" s="1"/>
  <c r="I14" s="1"/>
  <c r="E15"/>
  <c r="D8"/>
  <c r="D9"/>
  <c r="D10"/>
  <c r="D11"/>
  <c r="D12"/>
  <c r="D13"/>
  <c r="D7"/>
  <c r="D5"/>
  <c r="D6"/>
  <c r="D4"/>
  <c r="G4" s="1"/>
  <c r="E4" i="3" l="1"/>
  <c r="F4" s="1"/>
  <c r="G4" s="1"/>
  <c r="E3"/>
  <c r="E2"/>
  <c r="F2" s="1"/>
  <c r="G2" s="1"/>
  <c r="H81" i="2"/>
  <c r="H80"/>
  <c r="J81"/>
  <c r="J80"/>
  <c r="H79"/>
  <c r="H78"/>
  <c r="J79"/>
  <c r="J78"/>
  <c r="H77"/>
  <c r="H76"/>
  <c r="H75"/>
  <c r="H74"/>
  <c r="J77"/>
  <c r="J76"/>
  <c r="J75"/>
  <c r="J74"/>
  <c r="H73"/>
  <c r="H72"/>
  <c r="H71"/>
  <c r="H70"/>
  <c r="H69"/>
  <c r="H68"/>
  <c r="H67"/>
  <c r="H66"/>
  <c r="H65"/>
  <c r="H64"/>
  <c r="H63"/>
  <c r="H62"/>
  <c r="J73"/>
  <c r="J72"/>
  <c r="J71"/>
  <c r="J70"/>
  <c r="J69"/>
  <c r="J68"/>
  <c r="J67"/>
  <c r="J66"/>
  <c r="J65"/>
  <c r="J64"/>
  <c r="J63"/>
  <c r="J62"/>
  <c r="H61"/>
  <c r="H60"/>
  <c r="H59"/>
  <c r="H58"/>
  <c r="H57"/>
  <c r="H56"/>
  <c r="H55"/>
  <c r="H54"/>
  <c r="H53"/>
  <c r="H52"/>
  <c r="H51"/>
  <c r="J61"/>
  <c r="J60"/>
  <c r="J59"/>
  <c r="J58"/>
  <c r="J57"/>
  <c r="J56"/>
  <c r="J55"/>
  <c r="J54"/>
  <c r="J53"/>
  <c r="J52"/>
  <c r="J51"/>
  <c r="J50"/>
  <c r="H49"/>
  <c r="J49"/>
  <c r="H48"/>
  <c r="H47"/>
  <c r="H46"/>
  <c r="H45"/>
  <c r="H44"/>
  <c r="H43"/>
  <c r="H42"/>
  <c r="H41"/>
  <c r="H40"/>
  <c r="H39"/>
  <c r="H38"/>
  <c r="J48"/>
  <c r="J47"/>
  <c r="J46"/>
  <c r="J45"/>
  <c r="J44"/>
  <c r="J43"/>
  <c r="J42"/>
  <c r="J41"/>
  <c r="J40"/>
  <c r="J39"/>
  <c r="J38"/>
  <c r="H37"/>
  <c r="H36"/>
  <c r="H35"/>
  <c r="H34"/>
  <c r="J37"/>
  <c r="J36"/>
  <c r="J35"/>
  <c r="J34"/>
  <c r="H33"/>
  <c r="J33"/>
  <c r="H32"/>
  <c r="J32"/>
  <c r="H31"/>
  <c r="H30"/>
  <c r="H29"/>
  <c r="H28"/>
  <c r="H27"/>
  <c r="H26"/>
  <c r="J31"/>
  <c r="J30"/>
  <c r="J29"/>
  <c r="J28"/>
  <c r="J27"/>
  <c r="J26"/>
  <c r="H25"/>
  <c r="H24"/>
  <c r="H23"/>
  <c r="H22"/>
  <c r="H21"/>
  <c r="H20"/>
  <c r="J25"/>
  <c r="J24"/>
  <c r="J23"/>
  <c r="J22"/>
  <c r="J21"/>
  <c r="J20"/>
  <c r="H19"/>
  <c r="H18"/>
  <c r="H17"/>
  <c r="H16"/>
  <c r="H15"/>
  <c r="H14"/>
  <c r="J19"/>
  <c r="J18"/>
  <c r="J17"/>
  <c r="J16"/>
  <c r="J15"/>
  <c r="J14"/>
  <c r="E13"/>
  <c r="E12"/>
  <c r="E11"/>
  <c r="E10"/>
  <c r="E9"/>
  <c r="E8"/>
  <c r="E7"/>
  <c r="E6"/>
  <c r="E5"/>
  <c r="E4"/>
  <c r="E2"/>
  <c r="E3"/>
  <c r="E82"/>
  <c r="H13"/>
  <c r="H12"/>
  <c r="H11"/>
  <c r="H10"/>
  <c r="H9"/>
  <c r="H8"/>
  <c r="H7"/>
  <c r="H6"/>
  <c r="H5"/>
  <c r="H4"/>
  <c r="H3"/>
  <c r="H2"/>
  <c r="H82" s="1"/>
  <c r="F2"/>
  <c r="I2" s="1"/>
  <c r="F3"/>
  <c r="I3" s="1"/>
  <c r="J3" s="1"/>
  <c r="F4"/>
  <c r="I4" s="1"/>
  <c r="J4" s="1"/>
  <c r="F5"/>
  <c r="I5" s="1"/>
  <c r="J5" s="1"/>
  <c r="F6"/>
  <c r="I6" s="1"/>
  <c r="J6" s="1"/>
  <c r="F7"/>
  <c r="I7" s="1"/>
  <c r="J7" s="1"/>
  <c r="F8"/>
  <c r="I8" s="1"/>
  <c r="J8" s="1"/>
  <c r="F9"/>
  <c r="I9" s="1"/>
  <c r="J9" s="1"/>
  <c r="F10"/>
  <c r="I10" s="1"/>
  <c r="J10" s="1"/>
  <c r="F11"/>
  <c r="I11" s="1"/>
  <c r="J11" s="1"/>
  <c r="F12"/>
  <c r="I12" s="1"/>
  <c r="J12" s="1"/>
  <c r="F13"/>
  <c r="I13" s="1"/>
  <c r="J13" s="1"/>
  <c r="G13" i="1"/>
  <c r="F13" s="1"/>
  <c r="I13" s="1"/>
  <c r="G12"/>
  <c r="F12" s="1"/>
  <c r="I12" s="1"/>
  <c r="G11"/>
  <c r="F11" s="1"/>
  <c r="I11" s="1"/>
  <c r="G10"/>
  <c r="F10" s="1"/>
  <c r="I10" s="1"/>
  <c r="G9"/>
  <c r="F9" s="1"/>
  <c r="I9" s="1"/>
  <c r="G8"/>
  <c r="F8" s="1"/>
  <c r="I8" s="1"/>
  <c r="G7"/>
  <c r="F7" s="1"/>
  <c r="I7" s="1"/>
  <c r="G6"/>
  <c r="F6" s="1"/>
  <c r="I6" s="1"/>
  <c r="G5"/>
  <c r="F5" s="1"/>
  <c r="I5" s="1"/>
  <c r="F4"/>
  <c r="I4" s="1"/>
  <c r="F3" i="3" l="1"/>
  <c r="G3"/>
  <c r="G26"/>
  <c r="I4"/>
  <c r="H4" s="1"/>
  <c r="K4" s="1"/>
  <c r="I3"/>
  <c r="H3" s="1"/>
  <c r="K3" s="1"/>
  <c r="I2"/>
  <c r="I82" i="2"/>
  <c r="N1" s="1"/>
  <c r="O1" s="1"/>
  <c r="L2" s="1"/>
  <c r="J2"/>
  <c r="D3" i="1"/>
  <c r="J14" i="3" l="1"/>
  <c r="L14" s="1"/>
  <c r="J15"/>
  <c r="L15" s="1"/>
  <c r="J16"/>
  <c r="L16" s="1"/>
  <c r="J17"/>
  <c r="L17" s="1"/>
  <c r="J18"/>
  <c r="L18" s="1"/>
  <c r="J19"/>
  <c r="L19" s="1"/>
  <c r="J20"/>
  <c r="L20" s="1"/>
  <c r="J21"/>
  <c r="L21" s="1"/>
  <c r="J22"/>
  <c r="L22" s="1"/>
  <c r="J23"/>
  <c r="L23" s="1"/>
  <c r="J24"/>
  <c r="L24" s="1"/>
  <c r="J25"/>
  <c r="L25" s="1"/>
  <c r="J13"/>
  <c r="L13" s="1"/>
  <c r="J12"/>
  <c r="L12" s="1"/>
  <c r="J5"/>
  <c r="L5" s="1"/>
  <c r="J6"/>
  <c r="L6" s="1"/>
  <c r="J7"/>
  <c r="L7" s="1"/>
  <c r="J8"/>
  <c r="L8" s="1"/>
  <c r="J9"/>
  <c r="L9" s="1"/>
  <c r="J10"/>
  <c r="L10" s="1"/>
  <c r="J11"/>
  <c r="L11" s="1"/>
  <c r="J4"/>
  <c r="L4" s="1"/>
  <c r="J3"/>
  <c r="L3" s="1"/>
  <c r="J2"/>
  <c r="J26" s="1"/>
  <c r="H2"/>
  <c r="K2" s="1"/>
  <c r="L3" i="2"/>
  <c r="L4" s="1"/>
  <c r="G3" i="1"/>
  <c r="F3" s="1"/>
  <c r="I3" s="1"/>
  <c r="D2"/>
  <c r="G2" s="1"/>
  <c r="K26" i="3" l="1"/>
  <c r="L2"/>
  <c r="F2" i="1"/>
  <c r="H14"/>
  <c r="J14" s="1"/>
  <c r="I2"/>
  <c r="I15"/>
  <c r="H2" l="1"/>
  <c r="J2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5"/>
  <c r="J5" s="1"/>
  <c r="H4"/>
  <c r="J4" s="1"/>
  <c r="H3"/>
  <c r="J3" s="1"/>
</calcChain>
</file>

<file path=xl/sharedStrings.xml><?xml version="1.0" encoding="utf-8"?>
<sst xmlns="http://schemas.openxmlformats.org/spreadsheetml/2006/main" count="35" uniqueCount="13">
  <si>
    <t>RENDA FIXA</t>
  </si>
  <si>
    <t>APLICAÇÃO</t>
  </si>
  <si>
    <t>Total</t>
  </si>
  <si>
    <t>LUCRO LÍQ</t>
  </si>
  <si>
    <t>SALÁRIO</t>
  </si>
  <si>
    <t>REINVESTIR</t>
  </si>
  <si>
    <t>RF</t>
  </si>
  <si>
    <t>PROTEGER</t>
  </si>
  <si>
    <t>REAPLICAR</t>
  </si>
  <si>
    <t>ID</t>
  </si>
  <si>
    <t>RISCO</t>
  </si>
  <si>
    <t>20% SALÁRIO</t>
  </si>
  <si>
    <t>SAL. LIQUIDO</t>
  </si>
</sst>
</file>

<file path=xl/styles.xml><?xml version="1.0" encoding="utf-8"?>
<styleSheet xmlns="http://schemas.openxmlformats.org/spreadsheetml/2006/main">
  <numFmts count="1">
    <numFmt numFmtId="44" formatCode="_(&quot;R$ &quot;* #,##0.00_);_(&quot;R$ &quot;* \(#,##0.00\);_(&quot;R$ 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1" applyFont="1" applyBorder="1"/>
    <xf numFmtId="1" fontId="3" fillId="0" borderId="0" xfId="0" applyNumberFormat="1" applyFont="1"/>
    <xf numFmtId="1" fontId="3" fillId="0" borderId="0" xfId="1" applyNumberFormat="1" applyFont="1"/>
    <xf numFmtId="1" fontId="2" fillId="0" borderId="0" xfId="0" applyNumberFormat="1" applyFont="1"/>
    <xf numFmtId="44" fontId="2" fillId="0" borderId="0" xfId="0" applyNumberFormat="1" applyFont="1"/>
    <xf numFmtId="44" fontId="2" fillId="0" borderId="0" xfId="1" applyNumberFormat="1" applyFont="1"/>
    <xf numFmtId="44" fontId="2" fillId="0" borderId="0" xfId="1" applyNumberFormat="1" applyFont="1" applyBorder="1"/>
    <xf numFmtId="10" fontId="2" fillId="0" borderId="0" xfId="2" applyNumberFormat="1" applyFont="1"/>
    <xf numFmtId="10" fontId="2" fillId="0" borderId="0" xfId="0" applyNumberFormat="1" applyFont="1"/>
    <xf numFmtId="44" fontId="4" fillId="0" borderId="0" xfId="1" applyFont="1"/>
    <xf numFmtId="44" fontId="4" fillId="0" borderId="0" xfId="1" applyNumberFormat="1" applyFont="1"/>
    <xf numFmtId="10" fontId="4" fillId="0" borderId="0" xfId="2" applyNumberFormat="1" applyFont="1"/>
    <xf numFmtId="1" fontId="4" fillId="0" borderId="0" xfId="1" applyNumberFormat="1" applyFont="1" applyBorder="1"/>
    <xf numFmtId="44" fontId="4" fillId="0" borderId="0" xfId="1" applyFont="1" applyBorder="1"/>
    <xf numFmtId="44" fontId="4" fillId="0" borderId="0" xfId="1" applyNumberFormat="1" applyFont="1" applyBorder="1"/>
    <xf numFmtId="10" fontId="4" fillId="0" borderId="0" xfId="2" applyNumberFormat="1" applyFont="1" applyBorder="1"/>
    <xf numFmtId="44" fontId="5" fillId="0" borderId="0" xfId="1" applyFont="1"/>
    <xf numFmtId="10" fontId="2" fillId="0" borderId="0" xfId="2" applyNumberFormat="1" applyFont="1" applyBorder="1"/>
    <xf numFmtId="44" fontId="4" fillId="0" borderId="0" xfId="0" applyNumberFormat="1" applyFont="1"/>
    <xf numFmtId="1" fontId="4" fillId="0" borderId="0" xfId="0" applyNumberFormat="1" applyFont="1"/>
    <xf numFmtId="0" fontId="4" fillId="0" borderId="0" xfId="0" applyFont="1"/>
    <xf numFmtId="10" fontId="4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J15" totalsRowCount="1" headerRowDxfId="69" dataDxfId="68">
  <autoFilter ref="A1:J14">
    <filterColumn colId="0"/>
    <filterColumn colId="3"/>
    <filterColumn colId="4"/>
    <filterColumn colId="5"/>
    <filterColumn colId="6"/>
    <filterColumn colId="7"/>
    <filterColumn colId="8"/>
    <filterColumn colId="9"/>
  </autoFilter>
  <tableColumns count="10">
    <tableColumn id="9" name="ID" dataDxfId="67" totalsRowDxfId="66" dataCellStyle="Moeda"/>
    <tableColumn id="1" name="RENDA FIXA" totalsRowLabel="Total" dataDxfId="65" totalsRowDxfId="64" dataCellStyle="Moeda"/>
    <tableColumn id="2" name="APLICAÇÃO" dataDxfId="63" totalsRowDxfId="62" dataCellStyle="Moeda"/>
    <tableColumn id="3" name="LUCRO LÍQ" dataDxfId="61" totalsRowDxfId="60" dataCellStyle="Moeda">
      <calculatedColumnFormula>ROUND([APLICAÇÃO] * 85%, 2)</calculatedColumnFormula>
    </tableColumn>
    <tableColumn id="4" name="SALÁRIO" totalsRowFunction="sum" dataDxfId="59" totalsRowDxfId="58" dataCellStyle="Moeda">
      <calculatedColumnFormula>4000</calculatedColumnFormula>
    </tableColumn>
    <tableColumn id="5" name="REINVESTIR" dataDxfId="57" totalsRowDxfId="56" dataCellStyle="Moeda">
      <calculatedColumnFormula>[LUCRO LÍQ] - [SALÁRIO] - [PROTEGER]</calculatedColumnFormula>
    </tableColumn>
    <tableColumn id="6" name="PROTEGER" dataDxfId="55" totalsRowDxfId="54" dataCellStyle="Moeda">
      <calculatedColumnFormula>[LUCRO LÍQ] * 80%</calculatedColumnFormula>
    </tableColumn>
    <tableColumn id="7" name="RF" dataDxfId="53" totalsRowDxfId="52" dataCellStyle="Moeda">
      <calculatedColumnFormula>SUMPRODUCT(N([ID]=1), [RENDA FIXA]) + SUMPRODUCT(N([ID]&lt;=Tabela1[[#This Row],[ID]]), [PROTEGER]) - SUMPRODUCT(N([ID]=1), [APLICAÇÃO])</calculatedColumnFormula>
    </tableColumn>
    <tableColumn id="8" name="REAPLICAR" totalsRowFunction="count" dataDxfId="51" totalsRowDxfId="50" dataCellStyle="Moeda">
      <calculatedColumnFormula>[APLICAÇÃO]+[REINVESTIR]</calculatedColumnFormula>
    </tableColumn>
    <tableColumn id="11" name="RISCO" dataDxfId="49" totalsRowDxfId="48" dataCellStyle="Porcentagem">
      <calculatedColumnFormula>[REAPLICAR] / [RF]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J82" totalsRowCount="1" headerRowDxfId="47" dataDxfId="46">
  <autoFilter ref="A1:J81"/>
  <tableColumns count="10">
    <tableColumn id="9" name="ID" dataDxfId="45" totalsRowDxfId="35" dataCellStyle="Moeda"/>
    <tableColumn id="1" name="RENDA FIXA" totalsRowLabel="Total" dataDxfId="44" totalsRowDxfId="34" dataCellStyle="Moeda"/>
    <tableColumn id="2" name="APLICAÇÃO" dataDxfId="43" totalsRowDxfId="33" dataCellStyle="Moeda"/>
    <tableColumn id="3" name="LUCRO LÍQ" dataDxfId="42" totalsRowDxfId="32" dataCellStyle="Moeda">
      <calculatedColumnFormula>ROUND([APLICAÇÃO] * 85%, 2)</calculatedColumnFormula>
    </tableColumn>
    <tableColumn id="4" name="SALÁRIO" totalsRowFunction="sum" dataDxfId="41" totalsRowDxfId="31" dataCellStyle="Moeda">
      <calculatedColumnFormula>[LUCRO LÍQ] * 20%</calculatedColumnFormula>
    </tableColumn>
    <tableColumn id="5" name="REINVESTIR" dataDxfId="40" totalsRowDxfId="30" dataCellStyle="Moeda">
      <calculatedColumnFormula>[LUCRO LÍQ] - [SALÁRIO] - [PROTEGER]</calculatedColumnFormula>
    </tableColumn>
    <tableColumn id="6" name="PROTEGER" dataDxfId="39" totalsRowDxfId="29" dataCellStyle="Moeda">
      <calculatedColumnFormula>[LUCRO LÍQ] * 70%</calculatedColumnFormula>
    </tableColumn>
    <tableColumn id="7" name="RF" totalsRowFunction="max" dataDxfId="38" totalsRowDxfId="28" dataCellStyle="Moeda">
      <calculatedColumnFormula>SUMPRODUCT(N([ID]=1), [RENDA FIXA]) + SUMPRODUCT(N([ID]&lt;=Tabela13[[#This Row],[ID]]), [PROTEGER]) - SUMPRODUCT(N([ID]=1), [APLICAÇÃO])</calculatedColumnFormula>
    </tableColumn>
    <tableColumn id="8" name="REAPLICAR" totalsRowFunction="count" dataDxfId="37" totalsRowDxfId="27" dataCellStyle="Moeda">
      <calculatedColumnFormula>[APLICAÇÃO]+[REINVESTIR]</calculatedColumnFormula>
    </tableColumn>
    <tableColumn id="11" name="RISCO" dataDxfId="36" totalsRowDxfId="26" dataCellStyle="Porcentagem">
      <calculatedColumnFormula>[REAPLICAR] / [RF]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L26" totalsRowCount="1" headerRowDxfId="18" dataDxfId="17">
  <autoFilter ref="A1:L25">
    <filterColumn colId="5"/>
    <filterColumn colId="6"/>
  </autoFilter>
  <tableColumns count="12">
    <tableColumn id="9" name="ID" dataDxfId="25" totalsRowDxfId="11" dataCellStyle="Moeda"/>
    <tableColumn id="1" name="RENDA FIXA" totalsRowLabel="Total" dataDxfId="24" totalsRowDxfId="10" dataCellStyle="Moeda"/>
    <tableColumn id="2" name="APLICAÇÃO" dataDxfId="23" totalsRowDxfId="9" dataCellStyle="Moeda"/>
    <tableColumn id="3" name="LUCRO LÍQ" dataDxfId="22" totalsRowDxfId="8" dataCellStyle="Moeda">
      <calculatedColumnFormula>ROUND([APLICAÇÃO] * 85%, 2)</calculatedColumnFormula>
    </tableColumn>
    <tableColumn id="4" name="SALÁRIO" dataDxfId="14" totalsRowDxfId="7" dataCellStyle="Moeda">
      <calculatedColumnFormula>[LUCRO LÍQ] * 40%</calculatedColumnFormula>
    </tableColumn>
    <tableColumn id="10" name="20% SALÁRIO" dataDxfId="16" totalsRowDxfId="6" dataCellStyle="Moeda">
      <calculatedColumnFormula>[SALÁRIO] * 20%</calculatedColumnFormula>
    </tableColumn>
    <tableColumn id="12" name="SAL. LIQUIDO" totalsRowFunction="average" dataDxfId="12" totalsRowDxfId="5" dataCellStyle="Moeda">
      <calculatedColumnFormula>[SALÁRIO]-[20% SALÁRIO]</calculatedColumnFormula>
    </tableColumn>
    <tableColumn id="5" name="REINVESTIR" dataDxfId="15" totalsRowDxfId="4" dataCellStyle="Moeda">
      <calculatedColumnFormula>[LUCRO LÍQ] - [SALÁRIO] - [PROTEGER] + [20% SALÁRIO]</calculatedColumnFormula>
    </tableColumn>
    <tableColumn id="6" name="PROTEGER" dataDxfId="13" totalsRowDxfId="3" dataCellStyle="Moeda">
      <calculatedColumnFormula>([LUCRO LÍQ] - [SALÁRIO]) * 80%</calculatedColumnFormula>
    </tableColumn>
    <tableColumn id="7" name="RF" totalsRowFunction="max" dataDxfId="21" totalsRowDxfId="2" dataCellStyle="Moeda">
      <calculatedColumnFormula>SUMPRODUCT(N([ID]=1), [RENDA FIXA]) + SUMPRODUCT(N([ID]&lt;=Tabela134[[#This Row],[ID]]), [PROTEGER]) - SUMPRODUCT(N([ID]=1), [APLICAÇÃO])</calculatedColumnFormula>
    </tableColumn>
    <tableColumn id="8" name="REAPLICAR" totalsRowFunction="count" dataDxfId="20" totalsRowDxfId="1" dataCellStyle="Moeda">
      <calculatedColumnFormula>[APLICAÇÃO]+[REINVESTIR]</calculatedColumnFormula>
    </tableColumn>
    <tableColumn id="11" name="RISCO" dataDxfId="19" totalsRowDxfId="0" dataCellStyle="Porcentagem">
      <calculatedColumnFormula>[REAPLICAR] / [RF]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E2" sqref="E2:E14"/>
    </sheetView>
  </sheetViews>
  <sheetFormatPr defaultRowHeight="11.25"/>
  <cols>
    <col min="1" max="1" width="4.5703125" style="6" bestFit="1" customWidth="1"/>
    <col min="2" max="2" width="12.85546875" style="1" bestFit="1" customWidth="1"/>
    <col min="3" max="6" width="11.5703125" style="1" bestFit="1" customWidth="1"/>
    <col min="7" max="8" width="12.85546875" style="1" bestFit="1" customWidth="1"/>
    <col min="9" max="9" width="11.5703125" style="1" bestFit="1" customWidth="1"/>
    <col min="10" max="10" width="7" style="10" bestFit="1" customWidth="1"/>
    <col min="11" max="16384" width="9.140625" style="1"/>
  </cols>
  <sheetData>
    <row r="1" spans="1:10">
      <c r="A1" s="4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0" t="s">
        <v>10</v>
      </c>
    </row>
    <row r="2" spans="1:10">
      <c r="A2" s="5">
        <v>1</v>
      </c>
      <c r="B2" s="2">
        <v>155000</v>
      </c>
      <c r="C2" s="2">
        <v>50000</v>
      </c>
      <c r="D2" s="2">
        <f>ROUND([APLICAÇÃO] * 85%, 2)</f>
        <v>42500</v>
      </c>
      <c r="E2" s="2">
        <f>4000</f>
        <v>4000</v>
      </c>
      <c r="F2" s="2">
        <f>[LUCRO LÍQ] - [SALÁRIO] - [PROTEGER]</f>
        <v>4500</v>
      </c>
      <c r="G2" s="2">
        <f>[LUCRO LÍQ] * 80%</f>
        <v>34000</v>
      </c>
      <c r="H2" s="2">
        <f>SUMPRODUCT(N([ID]=1), [RENDA FIXA]) + SUMPRODUCT(N([ID]&lt;=Tabela1[[#This Row],[ID]]), [PROTEGER]) - SUMPRODUCT(N([ID]=1), [APLICAÇÃO])</f>
        <v>139000</v>
      </c>
      <c r="I2" s="2">
        <f>[APLICAÇÃO]+[REINVESTIR]</f>
        <v>54500</v>
      </c>
      <c r="J2" s="10">
        <f>[REAPLICAR] / [RF]</f>
        <v>0.3920863309352518</v>
      </c>
    </row>
    <row r="3" spans="1:10">
      <c r="A3" s="5">
        <v>2</v>
      </c>
      <c r="B3" s="2"/>
      <c r="C3" s="2">
        <v>54500</v>
      </c>
      <c r="D3" s="2">
        <f>ROUND([APLICAÇÃO] * 85%, 2)</f>
        <v>46325</v>
      </c>
      <c r="E3" s="2">
        <f>4000</f>
        <v>4000</v>
      </c>
      <c r="F3" s="2">
        <f>[LUCRO LÍQ] - [SALÁRIO] - [PROTEGER]</f>
        <v>5265</v>
      </c>
      <c r="G3" s="2">
        <f>[LUCRO LÍQ] * 80%</f>
        <v>37060</v>
      </c>
      <c r="H3" s="2">
        <f>SUMPRODUCT(N([ID]=1), [RENDA FIXA]) + SUMPRODUCT(N([ID]&lt;=Tabela1[[#This Row],[ID]]), [PROTEGER]) - SUMPRODUCT(N([ID]=1), [APLICAÇÃO])</f>
        <v>176060</v>
      </c>
      <c r="I3" s="2">
        <f>[APLICAÇÃO]+[REINVESTIR]</f>
        <v>59765</v>
      </c>
      <c r="J3" s="10">
        <f>[REAPLICAR] / [RF]</f>
        <v>0.33945813927070317</v>
      </c>
    </row>
    <row r="4" spans="1:10">
      <c r="A4" s="5">
        <v>3</v>
      </c>
      <c r="B4" s="3"/>
      <c r="C4" s="3">
        <v>59765</v>
      </c>
      <c r="D4" s="3">
        <f>ROUND([APLICAÇÃO] * 85%, 2)</f>
        <v>50800.25</v>
      </c>
      <c r="E4" s="3">
        <f>4000</f>
        <v>4000</v>
      </c>
      <c r="F4" s="3">
        <f>[LUCRO LÍQ] - [SALÁRIO] - [PROTEGER]</f>
        <v>6160.0499999999956</v>
      </c>
      <c r="G4" s="3">
        <f>[LUCRO LÍQ] * 80%</f>
        <v>40640.200000000004</v>
      </c>
      <c r="H4" s="3">
        <f>SUMPRODUCT(N([ID]=1), [RENDA FIXA]) + SUMPRODUCT(N([ID]&lt;=Tabela1[[#This Row],[ID]]), [PROTEGER]) - SUMPRODUCT(N([ID]=1), [APLICAÇÃO])</f>
        <v>216700.2</v>
      </c>
      <c r="I4" s="3">
        <f>[APLICAÇÃO]+[REINVESTIR]</f>
        <v>65925.049999999988</v>
      </c>
      <c r="J4" s="10">
        <f>[REAPLICAR] / [RF]</f>
        <v>0.30422237727514778</v>
      </c>
    </row>
    <row r="5" spans="1:10">
      <c r="A5" s="5">
        <v>4</v>
      </c>
      <c r="B5" s="2"/>
      <c r="C5" s="2">
        <v>65925.05</v>
      </c>
      <c r="D5" s="2">
        <f>ROUND([APLICAÇÃO] * 85%, 2)</f>
        <v>56036.29</v>
      </c>
      <c r="E5" s="2">
        <f>4000</f>
        <v>4000</v>
      </c>
      <c r="F5" s="2">
        <f>[LUCRO LÍQ] - [SALÁRIO] - [PROTEGER]</f>
        <v>7207.2579999999944</v>
      </c>
      <c r="G5" s="2">
        <f>[LUCRO LÍQ] * 80%</f>
        <v>44829.032000000007</v>
      </c>
      <c r="H5" s="2">
        <f>SUMPRODUCT(N([ID]=1), [RENDA FIXA]) + SUMPRODUCT(N([ID]&lt;=Tabela1[[#This Row],[ID]]), [PROTEGER]) - SUMPRODUCT(N([ID]=1), [APLICAÇÃO])</f>
        <v>261529.23200000002</v>
      </c>
      <c r="I5" s="2">
        <f>[APLICAÇÃO]+[REINVESTIR]</f>
        <v>73132.30799999999</v>
      </c>
      <c r="J5" s="10">
        <f>[REAPLICAR] / [RF]</f>
        <v>0.27963339868638465</v>
      </c>
    </row>
    <row r="6" spans="1:10">
      <c r="A6" s="5">
        <v>5</v>
      </c>
      <c r="B6" s="3"/>
      <c r="C6" s="3">
        <v>73132.31</v>
      </c>
      <c r="D6" s="3">
        <f>ROUND([APLICAÇÃO] * 85%, 2)</f>
        <v>62162.46</v>
      </c>
      <c r="E6" s="3">
        <f>4000</f>
        <v>4000</v>
      </c>
      <c r="F6" s="3">
        <f>[LUCRO LÍQ] - [SALÁRIO] - [PROTEGER]</f>
        <v>8432.4919999999984</v>
      </c>
      <c r="G6" s="3">
        <f>[LUCRO LÍQ] * 80%</f>
        <v>49729.968000000001</v>
      </c>
      <c r="H6" s="3">
        <f>SUMPRODUCT(N([ID]=1), [RENDA FIXA]) + SUMPRODUCT(N([ID]&lt;=Tabela1[[#This Row],[ID]]), [PROTEGER]) - SUMPRODUCT(N([ID]=1), [APLICAÇÃO])</f>
        <v>311259.2</v>
      </c>
      <c r="I6" s="3">
        <f>[APLICAÇÃO]+[REINVESTIR]</f>
        <v>81564.801999999996</v>
      </c>
      <c r="J6" s="10">
        <f>[REAPLICAR] / [RF]</f>
        <v>0.26204784308383494</v>
      </c>
    </row>
    <row r="7" spans="1:10">
      <c r="A7" s="5">
        <v>6</v>
      </c>
      <c r="B7" s="3"/>
      <c r="C7" s="3">
        <v>81564.800000000003</v>
      </c>
      <c r="D7" s="3">
        <f>ROUND([APLICAÇÃO] * 85%, 2)</f>
        <v>69330.080000000002</v>
      </c>
      <c r="E7" s="3">
        <f>4000</f>
        <v>4000</v>
      </c>
      <c r="F7" s="3">
        <f>[LUCRO LÍQ] - [SALÁRIO] - [PROTEGER]</f>
        <v>9866.015999999996</v>
      </c>
      <c r="G7" s="3">
        <f>[LUCRO LÍQ] * 80%</f>
        <v>55464.064000000006</v>
      </c>
      <c r="H7" s="3">
        <f>SUMPRODUCT(N([ID]=1), [RENDA FIXA]) + SUMPRODUCT(N([ID]&lt;=Tabela1[[#This Row],[ID]]), [PROTEGER]) - SUMPRODUCT(N([ID]=1), [APLICAÇÃO])</f>
        <v>366723.26400000002</v>
      </c>
      <c r="I7" s="3">
        <f>[APLICAÇÃO]+[REINVESTIR]</f>
        <v>91430.815999999992</v>
      </c>
      <c r="J7" s="10">
        <f>[REAPLICAR] / [RF]</f>
        <v>0.24931828704491457</v>
      </c>
    </row>
    <row r="8" spans="1:10">
      <c r="A8" s="5">
        <v>7</v>
      </c>
      <c r="B8" s="2"/>
      <c r="C8" s="2">
        <v>91430.82</v>
      </c>
      <c r="D8" s="2">
        <f>ROUND([APLICAÇÃO] * 85%, 2)</f>
        <v>77716.2</v>
      </c>
      <c r="E8" s="2">
        <f>4000</f>
        <v>4000</v>
      </c>
      <c r="F8" s="2">
        <f>[LUCRO LÍQ] - [SALÁRIO] - [PROTEGER]</f>
        <v>11543.239999999998</v>
      </c>
      <c r="G8" s="2">
        <f>[LUCRO LÍQ] * 80%</f>
        <v>62172.959999999999</v>
      </c>
      <c r="H8" s="2">
        <f>SUMPRODUCT(N([ID]=1), [RENDA FIXA]) + SUMPRODUCT(N([ID]&lt;=Tabela1[[#This Row],[ID]]), [PROTEGER]) - SUMPRODUCT(N([ID]=1), [APLICAÇÃO])</f>
        <v>428896.22400000005</v>
      </c>
      <c r="I8" s="2">
        <f>[APLICAÇÃO]+[REINVESTIR]</f>
        <v>102974.06</v>
      </c>
      <c r="J8" s="10">
        <f>[REAPLICAR] / [RF]</f>
        <v>0.24009085237365016</v>
      </c>
    </row>
    <row r="9" spans="1:10">
      <c r="A9" s="5">
        <v>8</v>
      </c>
      <c r="B9" s="2"/>
      <c r="C9" s="2">
        <v>102974.06</v>
      </c>
      <c r="D9" s="2">
        <f>ROUND([APLICAÇÃO] * 85%, 2)</f>
        <v>87527.95</v>
      </c>
      <c r="E9" s="2">
        <f>4000</f>
        <v>4000</v>
      </c>
      <c r="F9" s="2">
        <f>[LUCRO LÍQ] - [SALÁRIO] - [PROTEGER]</f>
        <v>13505.589999999997</v>
      </c>
      <c r="G9" s="2">
        <f>[LUCRO LÍQ] * 80%</f>
        <v>70022.36</v>
      </c>
      <c r="H9" s="2">
        <f>SUMPRODUCT(N([ID]=1), [RENDA FIXA]) + SUMPRODUCT(N([ID]&lt;=Tabela1[[#This Row],[ID]]), [PROTEGER]) - SUMPRODUCT(N([ID]=1), [APLICAÇÃO])</f>
        <v>498918.58400000003</v>
      </c>
      <c r="I9" s="2">
        <f>[APLICAÇÃO]+[REINVESTIR]</f>
        <v>116479.65</v>
      </c>
      <c r="J9" s="10">
        <f>[REAPLICAR] / [RF]</f>
        <v>0.23346424393764412</v>
      </c>
    </row>
    <row r="10" spans="1:10">
      <c r="A10" s="5">
        <v>9</v>
      </c>
      <c r="B10" s="2"/>
      <c r="C10" s="2">
        <v>116479.65</v>
      </c>
      <c r="D10" s="2">
        <f>ROUND([APLICAÇÃO] * 85%, 2)</f>
        <v>99007.7</v>
      </c>
      <c r="E10" s="2">
        <f>4000</f>
        <v>4000</v>
      </c>
      <c r="F10" s="2">
        <f>[LUCRO LÍQ] - [SALÁRIO] - [PROTEGER]</f>
        <v>15801.539999999994</v>
      </c>
      <c r="G10" s="2">
        <f>[LUCRO LÍQ] * 80%</f>
        <v>79206.16</v>
      </c>
      <c r="H10" s="2">
        <f>SUMPRODUCT(N([ID]=1), [RENDA FIXA]) + SUMPRODUCT(N([ID]&lt;=Tabela1[[#This Row],[ID]]), [PROTEGER]) - SUMPRODUCT(N([ID]=1), [APLICAÇÃO])</f>
        <v>578124.74400000006</v>
      </c>
      <c r="I10" s="2">
        <f>[APLICAÇÃO]+[REINVESTIR]</f>
        <v>132281.19</v>
      </c>
      <c r="J10" s="10">
        <f>[REAPLICAR] / [RF]</f>
        <v>0.22881080834692658</v>
      </c>
    </row>
    <row r="11" spans="1:10">
      <c r="A11" s="5">
        <v>10</v>
      </c>
      <c r="B11" s="2"/>
      <c r="C11" s="2">
        <v>132281.19</v>
      </c>
      <c r="D11" s="2">
        <f>ROUND([APLICAÇÃO] * 85%, 2)</f>
        <v>112439.01</v>
      </c>
      <c r="E11" s="2">
        <f>4000</f>
        <v>4000</v>
      </c>
      <c r="F11" s="2">
        <f>[LUCRO LÍQ] - [SALÁRIO] - [PROTEGER]</f>
        <v>18487.801999999996</v>
      </c>
      <c r="G11" s="2">
        <f>[LUCRO LÍQ] * 80%</f>
        <v>89951.207999999999</v>
      </c>
      <c r="H11" s="2">
        <f>SUMPRODUCT(N([ID]=1), [RENDA FIXA]) + SUMPRODUCT(N([ID]&lt;=Tabela1[[#This Row],[ID]]), [PROTEGER]) - SUMPRODUCT(N([ID]=1), [APLICAÇÃO])</f>
        <v>668075.95200000005</v>
      </c>
      <c r="I11" s="2">
        <f>[APLICAÇÃO]+[REINVESTIR]</f>
        <v>150768.992</v>
      </c>
      <c r="J11" s="10">
        <f>[REAPLICAR] / [RF]</f>
        <v>0.22567642428775822</v>
      </c>
    </row>
    <row r="12" spans="1:10">
      <c r="A12" s="5">
        <v>11</v>
      </c>
      <c r="B12" s="2"/>
      <c r="C12" s="2">
        <v>150768.99</v>
      </c>
      <c r="D12" s="2">
        <f>ROUND([APLICAÇÃO] * 85%, 2)</f>
        <v>128153.64</v>
      </c>
      <c r="E12" s="2">
        <f>4000</f>
        <v>4000</v>
      </c>
      <c r="F12" s="2">
        <f>[LUCRO LÍQ] - [SALÁRIO] - [PROTEGER]</f>
        <v>21630.727999999988</v>
      </c>
      <c r="G12" s="2">
        <f>[LUCRO LÍQ] * 80%</f>
        <v>102522.91200000001</v>
      </c>
      <c r="H12" s="2">
        <f>SUMPRODUCT(N([ID]=1), [RENDA FIXA]) + SUMPRODUCT(N([ID]&lt;=Tabela1[[#This Row],[ID]]), [PROTEGER]) - SUMPRODUCT(N([ID]=1), [APLICAÇÃO])</f>
        <v>770598.86400000006</v>
      </c>
      <c r="I12" s="2">
        <f>[APLICAÇÃO]+[REINVESTIR]</f>
        <v>172399.71799999999</v>
      </c>
      <c r="J12" s="10">
        <f>[REAPLICAR] / [RF]</f>
        <v>0.2237217390966722</v>
      </c>
    </row>
    <row r="13" spans="1:10">
      <c r="A13" s="5">
        <v>12</v>
      </c>
      <c r="B13" s="3"/>
      <c r="C13" s="3">
        <v>173399.72</v>
      </c>
      <c r="D13" s="3">
        <f>ROUND([APLICAÇÃO] * 85%, 2)</f>
        <v>147389.76000000001</v>
      </c>
      <c r="E13" s="3">
        <f>4000</f>
        <v>4000</v>
      </c>
      <c r="F13" s="3">
        <f>[LUCRO LÍQ] - [SALÁRIO] - [PROTEGER]</f>
        <v>25477.95199999999</v>
      </c>
      <c r="G13" s="3">
        <f>[LUCRO LÍQ] * 80%</f>
        <v>117911.80800000002</v>
      </c>
      <c r="H13" s="3">
        <f>SUMPRODUCT(N([ID]=1), [RENDA FIXA]) + SUMPRODUCT(N([ID]&lt;=Tabela1[[#This Row],[ID]]), [PROTEGER]) - SUMPRODUCT(N([ID]=1), [APLICAÇÃO])</f>
        <v>888510.67200000002</v>
      </c>
      <c r="I13" s="3">
        <f>[APLICAÇÃO]+[REINVESTIR]</f>
        <v>198877.67199999999</v>
      </c>
      <c r="J13" s="10">
        <f>[REAPLICAR] / [RF]</f>
        <v>0.2238326204370002</v>
      </c>
    </row>
    <row r="14" spans="1:10">
      <c r="A14" s="5">
        <v>13</v>
      </c>
      <c r="B14" s="2"/>
      <c r="C14" s="8">
        <v>198844.67</v>
      </c>
      <c r="D14" s="2">
        <f>ROUND([APLICAÇÃO] * 85%, 2)</f>
        <v>169017.97</v>
      </c>
      <c r="E14" s="8">
        <v>4000</v>
      </c>
      <c r="F14" s="8">
        <f>[LUCRO LÍQ] - [SALÁRIO] - [PROTEGER]</f>
        <v>29803.593999999983</v>
      </c>
      <c r="G14" s="8">
        <f>[LUCRO LÍQ] * 80%</f>
        <v>135214.37600000002</v>
      </c>
      <c r="H14" s="8">
        <f>SUMPRODUCT(N([ID]=1), [RENDA FIXA]) + SUMPRODUCT(N([ID]&lt;=Tabela1[[#This Row],[ID]]), [PROTEGER]) - SUMPRODUCT(N([ID]=1), [APLICAÇÃO])</f>
        <v>1023725.048</v>
      </c>
      <c r="I14" s="2">
        <f>[APLICAÇÃO]+[REINVESTIR]</f>
        <v>228648.264</v>
      </c>
      <c r="J14" s="10">
        <f>[REAPLICAR] / [RF]</f>
        <v>0.22334929134214171</v>
      </c>
    </row>
    <row r="15" spans="1:10">
      <c r="B15" s="1" t="s">
        <v>2</v>
      </c>
      <c r="E15" s="7">
        <f>SUBTOTAL(109,[SALÁRIO])</f>
        <v>52000</v>
      </c>
      <c r="I15" s="1">
        <f>SUBTOTAL(103,[REAPLICAR])</f>
        <v>13</v>
      </c>
      <c r="J15" s="1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82"/>
  <sheetViews>
    <sheetView workbookViewId="0">
      <selection sqref="A1:XFD1048576"/>
    </sheetView>
  </sheetViews>
  <sheetFormatPr defaultRowHeight="11.25"/>
  <cols>
    <col min="1" max="1" width="4.5703125" style="6" bestFit="1" customWidth="1"/>
    <col min="2" max="2" width="12.85546875" style="1" bestFit="1" customWidth="1"/>
    <col min="3" max="4" width="13.85546875" style="1" bestFit="1" customWidth="1"/>
    <col min="5" max="5" width="14.7109375" style="1" bestFit="1" customWidth="1"/>
    <col min="6" max="6" width="12.85546875" style="1" bestFit="1" customWidth="1"/>
    <col min="7" max="7" width="13.85546875" style="1" bestFit="1" customWidth="1"/>
    <col min="8" max="8" width="14.7109375" style="1" bestFit="1" customWidth="1"/>
    <col min="9" max="9" width="13.85546875" style="1" bestFit="1" customWidth="1"/>
    <col min="10" max="10" width="7" style="10" bestFit="1" customWidth="1"/>
    <col min="11" max="11" width="9.140625" style="1"/>
    <col min="12" max="12" width="14.7109375" style="1" bestFit="1" customWidth="1"/>
    <col min="13" max="16384" width="9.140625" style="1"/>
  </cols>
  <sheetData>
    <row r="1" spans="1:15">
      <c r="A1" s="4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0" t="s">
        <v>10</v>
      </c>
      <c r="L1" s="2">
        <v>29000000</v>
      </c>
      <c r="M1" s="10">
        <v>8.5000000000000006E-3</v>
      </c>
      <c r="N1" s="1">
        <f>Tabela13[[#Totals],[REAPLICAR]]</f>
        <v>80</v>
      </c>
      <c r="O1" s="10">
        <f>(1+M1)^N1-1</f>
        <v>0.96821348908052363</v>
      </c>
    </row>
    <row r="2" spans="1:15">
      <c r="A2" s="5">
        <v>1</v>
      </c>
      <c r="B2" s="2">
        <v>1000000</v>
      </c>
      <c r="C2" s="2">
        <v>15000</v>
      </c>
      <c r="D2" s="2">
        <f>ROUND([APLICAÇÃO] * 85%, 2)</f>
        <v>12750</v>
      </c>
      <c r="E2" s="2">
        <f>[LUCRO LÍQ] * 20%</f>
        <v>2550</v>
      </c>
      <c r="F2" s="2">
        <f>[LUCRO LÍQ] - [SALÁRIO] - [PROTEGER]</f>
        <v>1275</v>
      </c>
      <c r="G2" s="2">
        <f>[LUCRO LÍQ] * 70%</f>
        <v>8925</v>
      </c>
      <c r="H2" s="2">
        <f>SUMPRODUCT(N([ID]=1), [RENDA FIXA]) + SUMPRODUCT(N([ID]&lt;=Tabela13[[#This Row],[ID]]), [PROTEGER]) - SUMPRODUCT(N([ID]=1), [APLICAÇÃO])</f>
        <v>993925</v>
      </c>
      <c r="I2" s="2">
        <f>[APLICAÇÃO]+[REINVESTIR]</f>
        <v>16275</v>
      </c>
      <c r="J2" s="10">
        <f>[REAPLICAR] / [RF]</f>
        <v>1.6374474935231531E-2</v>
      </c>
      <c r="L2" s="2">
        <f>L1*(1+O1)</f>
        <v>57078191.183335185</v>
      </c>
    </row>
    <row r="3" spans="1:15">
      <c r="A3" s="5">
        <v>2</v>
      </c>
      <c r="B3" s="2"/>
      <c r="C3" s="2">
        <v>16275</v>
      </c>
      <c r="D3" s="2">
        <f>ROUND([APLICAÇÃO] * 85%, 2)</f>
        <v>13833.75</v>
      </c>
      <c r="E3" s="2">
        <f>[LUCRO LÍQ] * 20%</f>
        <v>2766.75</v>
      </c>
      <c r="F3" s="2">
        <f>[LUCRO LÍQ] - [SALÁRIO] - [PROTEGER]</f>
        <v>1383.375</v>
      </c>
      <c r="G3" s="2">
        <f>[LUCRO LÍQ] * 70%</f>
        <v>9683.625</v>
      </c>
      <c r="H3" s="2">
        <f>SUMPRODUCT(N([ID]=1), [RENDA FIXA]) + SUMPRODUCT(N([ID]&lt;=Tabela13[[#This Row],[ID]]), [PROTEGER]) - SUMPRODUCT(N([ID]=1), [APLICAÇÃO])</f>
        <v>1003608.625</v>
      </c>
      <c r="I3" s="2">
        <f>[APLICAÇÃO]+[REINVESTIR]</f>
        <v>17658.375</v>
      </c>
      <c r="J3" s="10">
        <f>[REAPLICAR] / [RF]</f>
        <v>1.7594881670133115E-2</v>
      </c>
      <c r="L3" s="2">
        <f>Tabela13[[#Totals],[RF]]*(1+O1)</f>
        <v>941266002.74973595</v>
      </c>
    </row>
    <row r="4" spans="1:15">
      <c r="A4" s="5">
        <v>3</v>
      </c>
      <c r="B4" s="3"/>
      <c r="C4" s="3">
        <v>117722.5</v>
      </c>
      <c r="D4" s="3">
        <f>ROUND([APLICAÇÃO] * 85%, 2)</f>
        <v>100064.13</v>
      </c>
      <c r="E4" s="3">
        <f>[LUCRO LÍQ] * 20%</f>
        <v>20012.826000000001</v>
      </c>
      <c r="F4" s="3">
        <f>[LUCRO LÍQ] - [SALÁRIO] - [PROTEGER]</f>
        <v>10006.413</v>
      </c>
      <c r="G4" s="3">
        <f>[LUCRO LÍQ] * 70%</f>
        <v>70044.891000000003</v>
      </c>
      <c r="H4" s="3">
        <f>SUMPRODUCT(N([ID]=1), [RENDA FIXA]) + SUMPRODUCT(N([ID]&lt;=Tabela13[[#This Row],[ID]]), [PROTEGER]) - SUMPRODUCT(N([ID]=1), [APLICAÇÃO])</f>
        <v>1073653.5160000001</v>
      </c>
      <c r="I4" s="3">
        <f>[APLICAÇÃO]+[REINVESTIR]</f>
        <v>127728.913</v>
      </c>
      <c r="J4" s="10">
        <f>[REAPLICAR] / [RF]</f>
        <v>0.11896660430626298</v>
      </c>
      <c r="L4" s="19">
        <f>L2+L3</f>
        <v>998344193.93307114</v>
      </c>
    </row>
    <row r="5" spans="1:15">
      <c r="A5" s="5">
        <v>4</v>
      </c>
      <c r="B5" s="2"/>
      <c r="C5" s="2">
        <v>127728.91</v>
      </c>
      <c r="D5" s="2">
        <f>ROUND([APLICAÇÃO] * 85%, 2)</f>
        <v>108569.57</v>
      </c>
      <c r="E5" s="2">
        <f>[LUCRO LÍQ] * 20%</f>
        <v>21713.914000000004</v>
      </c>
      <c r="F5" s="2">
        <f>[LUCRO LÍQ] - [SALÁRIO] - [PROTEGER]</f>
        <v>10856.957000000009</v>
      </c>
      <c r="G5" s="2">
        <f>[LUCRO LÍQ] * 70%</f>
        <v>75998.698999999993</v>
      </c>
      <c r="H5" s="2">
        <f>SUMPRODUCT(N([ID]=1), [RENDA FIXA]) + SUMPRODUCT(N([ID]&lt;=Tabela13[[#This Row],[ID]]), [PROTEGER]) - SUMPRODUCT(N([ID]=1), [APLICAÇÃO])</f>
        <v>1149652.2150000001</v>
      </c>
      <c r="I5" s="2">
        <f>[APLICAÇÃO]+[REINVESTIR]</f>
        <v>138585.86700000003</v>
      </c>
      <c r="J5" s="10">
        <f>[REAPLICAR] / [RF]</f>
        <v>0.12054590526753346</v>
      </c>
    </row>
    <row r="6" spans="1:15">
      <c r="A6" s="5">
        <v>5</v>
      </c>
      <c r="B6" s="3"/>
      <c r="C6" s="3">
        <v>138585.87</v>
      </c>
      <c r="D6" s="3">
        <f>ROUND([APLICAÇÃO] * 85%, 2)</f>
        <v>117797.99</v>
      </c>
      <c r="E6" s="3">
        <f>[LUCRO LÍQ] * 20%</f>
        <v>23559.598000000002</v>
      </c>
      <c r="F6" s="3">
        <f>[LUCRO LÍQ] - [SALÁRIO] - [PROTEGER]</f>
        <v>11779.799000000014</v>
      </c>
      <c r="G6" s="3">
        <f>[LUCRO LÍQ] * 70%</f>
        <v>82458.592999999993</v>
      </c>
      <c r="H6" s="3">
        <f>SUMPRODUCT(N([ID]=1), [RENDA FIXA]) + SUMPRODUCT(N([ID]&lt;=Tabela13[[#This Row],[ID]]), [PROTEGER]) - SUMPRODUCT(N([ID]=1), [APLICAÇÃO])</f>
        <v>1232110.808</v>
      </c>
      <c r="I6" s="3">
        <f>[APLICAÇÃO]+[REINVESTIR]</f>
        <v>150365.66899999999</v>
      </c>
      <c r="J6" s="10">
        <f>[REAPLICAR] / [RF]</f>
        <v>0.12203907962148158</v>
      </c>
    </row>
    <row r="7" spans="1:15">
      <c r="A7" s="5">
        <v>6</v>
      </c>
      <c r="B7" s="3"/>
      <c r="C7" s="3">
        <v>150365.67000000001</v>
      </c>
      <c r="D7" s="3">
        <f>ROUND([APLICAÇÃO] * 85%, 2)</f>
        <v>127810.82</v>
      </c>
      <c r="E7" s="3">
        <f>[LUCRO LÍQ] * 20%</f>
        <v>25562.164000000004</v>
      </c>
      <c r="F7" s="3">
        <f>[LUCRO LÍQ] - [SALÁRIO] - [PROTEGER]</f>
        <v>12781.082000000009</v>
      </c>
      <c r="G7" s="3">
        <f>[LUCRO LÍQ] * 70%</f>
        <v>89467.573999999993</v>
      </c>
      <c r="H7" s="3">
        <f>SUMPRODUCT(N([ID]=1), [RENDA FIXA]) + SUMPRODUCT(N([ID]&lt;=Tabela13[[#This Row],[ID]]), [PROTEGER]) - SUMPRODUCT(N([ID]=1), [APLICAÇÃO])</f>
        <v>1321578.382</v>
      </c>
      <c r="I7" s="3">
        <f>[APLICAÇÃO]+[REINVESTIR]</f>
        <v>163146.75200000004</v>
      </c>
      <c r="J7" s="10">
        <f>[REAPLICAR] / [RF]</f>
        <v>0.12344841155248258</v>
      </c>
    </row>
    <row r="8" spans="1:15">
      <c r="A8" s="5">
        <v>7</v>
      </c>
      <c r="B8" s="2"/>
      <c r="C8" s="2">
        <v>163146.75</v>
      </c>
      <c r="D8" s="2">
        <f>ROUND([APLICAÇÃO] * 85%, 2)</f>
        <v>138674.74</v>
      </c>
      <c r="E8" s="2">
        <f>[LUCRO LÍQ] * 20%</f>
        <v>27734.948</v>
      </c>
      <c r="F8" s="2">
        <f>[LUCRO LÍQ] - [SALÁRIO] - [PROTEGER]</f>
        <v>13867.474000000002</v>
      </c>
      <c r="G8" s="2">
        <f>[LUCRO LÍQ] * 70%</f>
        <v>97072.317999999985</v>
      </c>
      <c r="H8" s="2">
        <f>SUMPRODUCT(N([ID]=1), [RENDA FIXA]) + SUMPRODUCT(N([ID]&lt;=Tabela13[[#This Row],[ID]]), [PROTEGER]) - SUMPRODUCT(N([ID]=1), [APLICAÇÃO])</f>
        <v>1418650.7</v>
      </c>
      <c r="I8" s="2">
        <f>[APLICAÇÃO]+[REINVESTIR]</f>
        <v>177014.22399999999</v>
      </c>
      <c r="J8" s="10">
        <f>[REAPLICAR] / [RF]</f>
        <v>0.12477646823139762</v>
      </c>
    </row>
    <row r="9" spans="1:15">
      <c r="A9" s="5">
        <v>8</v>
      </c>
      <c r="B9" s="2"/>
      <c r="C9" s="2">
        <v>177014.22</v>
      </c>
      <c r="D9" s="2">
        <f>ROUND([APLICAÇÃO] * 85%, 2)</f>
        <v>150462.09</v>
      </c>
      <c r="E9" s="2">
        <f>[LUCRO LÍQ] * 20%</f>
        <v>30092.418000000001</v>
      </c>
      <c r="F9" s="2">
        <f>[LUCRO LÍQ] - [SALÁRIO] - [PROTEGER]</f>
        <v>15046.209000000003</v>
      </c>
      <c r="G9" s="2">
        <f>[LUCRO LÍQ] * 70%</f>
        <v>105323.46299999999</v>
      </c>
      <c r="H9" s="2">
        <f>SUMPRODUCT(N([ID]=1), [RENDA FIXA]) + SUMPRODUCT(N([ID]&lt;=Tabela13[[#This Row],[ID]]), [PROTEGER]) - SUMPRODUCT(N([ID]=1), [APLICAÇÃO])</f>
        <v>1523974.1629999999</v>
      </c>
      <c r="I9" s="2">
        <f>[APLICAÇÃO]+[REINVESTIR]</f>
        <v>192060.429</v>
      </c>
      <c r="J9" s="10">
        <f>[REAPLICAR] / [RF]</f>
        <v>0.12602604011469715</v>
      </c>
    </row>
    <row r="10" spans="1:15">
      <c r="A10" s="5">
        <v>9</v>
      </c>
      <c r="B10" s="2"/>
      <c r="C10" s="2">
        <v>192060.43</v>
      </c>
      <c r="D10" s="2">
        <f>ROUND([APLICAÇÃO] * 85%, 2)</f>
        <v>163251.37</v>
      </c>
      <c r="E10" s="2">
        <f>[LUCRO LÍQ] * 20%</f>
        <v>32650.274000000001</v>
      </c>
      <c r="F10" s="2">
        <f>[LUCRO LÍQ] - [SALÁRIO] - [PROTEGER]</f>
        <v>16325.137000000002</v>
      </c>
      <c r="G10" s="2">
        <f>[LUCRO LÍQ] * 70%</f>
        <v>114275.95899999999</v>
      </c>
      <c r="H10" s="2">
        <f>SUMPRODUCT(N([ID]=1), [RENDA FIXA]) + SUMPRODUCT(N([ID]&lt;=Tabela13[[#This Row],[ID]]), [PROTEGER]) - SUMPRODUCT(N([ID]=1), [APLICAÇÃO])</f>
        <v>1638250.122</v>
      </c>
      <c r="I10" s="2">
        <f>[APLICAÇÃO]+[REINVESTIR]</f>
        <v>208385.56699999998</v>
      </c>
      <c r="J10" s="10">
        <f>[REAPLICAR] / [RF]</f>
        <v>0.12720009246548983</v>
      </c>
    </row>
    <row r="11" spans="1:15">
      <c r="A11" s="5">
        <v>10</v>
      </c>
      <c r="B11" s="2"/>
      <c r="C11" s="2">
        <v>208385.57</v>
      </c>
      <c r="D11" s="2">
        <f>ROUND([APLICAÇÃO] * 85%, 2)</f>
        <v>177127.73</v>
      </c>
      <c r="E11" s="2">
        <f>[LUCRO LÍQ] * 20%</f>
        <v>35425.546000000002</v>
      </c>
      <c r="F11" s="2">
        <f>[LUCRO LÍQ] - [SALÁRIO] - [PROTEGER]</f>
        <v>17712.773000000016</v>
      </c>
      <c r="G11" s="2">
        <f>[LUCRO LÍQ] * 70%</f>
        <v>123989.41099999999</v>
      </c>
      <c r="H11" s="2">
        <f>SUMPRODUCT(N([ID]=1), [RENDA FIXA]) + SUMPRODUCT(N([ID]&lt;=Tabela13[[#This Row],[ID]]), [PROTEGER]) - SUMPRODUCT(N([ID]=1), [APLICAÇÃO])</f>
        <v>1762239.5329999998</v>
      </c>
      <c r="I11" s="2">
        <f>[APLICAÇÃO]+[REINVESTIR]</f>
        <v>226098.34300000002</v>
      </c>
      <c r="J11" s="10">
        <f>[REAPLICAR] / [RF]</f>
        <v>0.12830170857368914</v>
      </c>
    </row>
    <row r="12" spans="1:15">
      <c r="A12" s="5">
        <v>11</v>
      </c>
      <c r="B12" s="2"/>
      <c r="C12" s="2">
        <v>226098.34</v>
      </c>
      <c r="D12" s="2">
        <f>ROUND([APLICAÇÃO] * 85%, 2)</f>
        <v>192183.59</v>
      </c>
      <c r="E12" s="2">
        <f>[LUCRO LÍQ] * 20%</f>
        <v>38436.718000000001</v>
      </c>
      <c r="F12" s="2">
        <f>[LUCRO LÍQ] - [SALÁRIO] - [PROTEGER]</f>
        <v>19218.359000000026</v>
      </c>
      <c r="G12" s="2">
        <f>[LUCRO LÍQ] * 70%</f>
        <v>134528.51299999998</v>
      </c>
      <c r="H12" s="2">
        <f>SUMPRODUCT(N([ID]=1), [RENDA FIXA]) + SUMPRODUCT(N([ID]&lt;=Tabela13[[#This Row],[ID]]), [PROTEGER]) - SUMPRODUCT(N([ID]=1), [APLICAÇÃO])</f>
        <v>1896768.0459999999</v>
      </c>
      <c r="I12" s="2">
        <f>[APLICAÇÃO]+[REINVESTIR]</f>
        <v>245316.69900000002</v>
      </c>
      <c r="J12" s="10">
        <f>[REAPLICAR] / [RF]</f>
        <v>0.12933405300523501</v>
      </c>
    </row>
    <row r="13" spans="1:15">
      <c r="A13" s="5">
        <v>12</v>
      </c>
      <c r="B13" s="3"/>
      <c r="C13" s="3">
        <v>245316.7</v>
      </c>
      <c r="D13" s="3">
        <f>ROUND([APLICAÇÃO] * 85%, 2)</f>
        <v>208519.2</v>
      </c>
      <c r="E13" s="3">
        <f>[LUCRO LÍQ] * 20%</f>
        <v>41703.840000000004</v>
      </c>
      <c r="F13" s="3">
        <f>[LUCRO LÍQ] - [SALÁRIO] - [PROTEGER]</f>
        <v>20851.920000000013</v>
      </c>
      <c r="G13" s="3">
        <f>[LUCRO LÍQ] * 70%</f>
        <v>145963.44</v>
      </c>
      <c r="H13" s="3">
        <f>SUMPRODUCT(N([ID]=1), [RENDA FIXA]) + SUMPRODUCT(N([ID]&lt;=Tabela13[[#This Row],[ID]]), [PROTEGER]) - SUMPRODUCT(N([ID]=1), [APLICAÇÃO])</f>
        <v>2042731.4859999998</v>
      </c>
      <c r="I13" s="3">
        <f>[APLICAÇÃO]+[REINVESTIR]</f>
        <v>266168.62</v>
      </c>
      <c r="J13" s="10">
        <f>[REAPLICAR] / [RF]</f>
        <v>0.13030034628839124</v>
      </c>
    </row>
    <row r="14" spans="1:15">
      <c r="A14" s="5">
        <v>13</v>
      </c>
      <c r="B14" s="12"/>
      <c r="C14" s="13">
        <v>266168.62</v>
      </c>
      <c r="D14" s="12">
        <f>ROUND([APLICAÇÃO] * 85%, 2)</f>
        <v>226243.33</v>
      </c>
      <c r="E14" s="13">
        <f>[LUCRO LÍQ] * 20%</f>
        <v>45248.665999999997</v>
      </c>
      <c r="F14" s="13">
        <f>[LUCRO LÍQ] - [SALÁRIO] - [PROTEGER]</f>
        <v>22624.333000000013</v>
      </c>
      <c r="G14" s="13">
        <f>[LUCRO LÍQ] * 70%</f>
        <v>158370.33099999998</v>
      </c>
      <c r="H14" s="13">
        <f>SUMPRODUCT(N([ID]=1), [RENDA FIXA]) + SUMPRODUCT(N([ID]&lt;=Tabela13[[#This Row],[ID]]), [PROTEGER]) - SUMPRODUCT(N([ID]=1), [APLICAÇÃO])</f>
        <v>2201101.8169999998</v>
      </c>
      <c r="I14" s="12">
        <f>[APLICAÇÃO]+[REINVESTIR]</f>
        <v>288792.95299999998</v>
      </c>
      <c r="J14" s="14">
        <f>[REAPLICAR] / [RF]</f>
        <v>0.1312038138215757</v>
      </c>
    </row>
    <row r="15" spans="1:15">
      <c r="A15" s="5">
        <v>14</v>
      </c>
      <c r="B15" s="12"/>
      <c r="C15" s="13">
        <v>288792.95</v>
      </c>
      <c r="D15" s="12">
        <f>ROUND([APLICAÇÃO] * 85%, 2)</f>
        <v>245474.01</v>
      </c>
      <c r="E15" s="13">
        <f>[LUCRO LÍQ] * 20%</f>
        <v>49094.802000000003</v>
      </c>
      <c r="F15" s="13">
        <f>[LUCRO LÍQ] - [SALÁRIO] - [PROTEGER]</f>
        <v>24547.401000000013</v>
      </c>
      <c r="G15" s="13">
        <f>[LUCRO LÍQ] * 70%</f>
        <v>171831.807</v>
      </c>
      <c r="H15" s="13">
        <f>SUMPRODUCT(N([ID]=1), [RENDA FIXA]) + SUMPRODUCT(N([ID]&lt;=Tabela13[[#This Row],[ID]]), [PROTEGER]) - SUMPRODUCT(N([ID]=1), [APLICAÇÃO])</f>
        <v>2372933.6239999998</v>
      </c>
      <c r="I15" s="12">
        <f>[APLICAÇÃO]+[REINVESTIR]</f>
        <v>313340.35100000002</v>
      </c>
      <c r="J15" s="14">
        <f>[REAPLICAR] / [RF]</f>
        <v>0.13204766784492242</v>
      </c>
    </row>
    <row r="16" spans="1:15">
      <c r="A16" s="5">
        <v>15</v>
      </c>
      <c r="B16" s="12"/>
      <c r="C16" s="13">
        <v>313340.34999999998</v>
      </c>
      <c r="D16" s="12">
        <f>ROUND([APLICAÇÃO] * 85%, 2)</f>
        <v>266339.3</v>
      </c>
      <c r="E16" s="13">
        <f>[LUCRO LÍQ] * 20%</f>
        <v>53267.86</v>
      </c>
      <c r="F16" s="13">
        <f>[LUCRO LÍQ] - [SALÁRIO] - [PROTEGER]</f>
        <v>26633.930000000022</v>
      </c>
      <c r="G16" s="13">
        <f>[LUCRO LÍQ] * 70%</f>
        <v>186437.50999999998</v>
      </c>
      <c r="H16" s="13">
        <f>SUMPRODUCT(N([ID]=1), [RENDA FIXA]) + SUMPRODUCT(N([ID]&lt;=Tabela13[[#This Row],[ID]]), [PROTEGER]) - SUMPRODUCT(N([ID]=1), [APLICAÇÃO])</f>
        <v>2559371.1339999996</v>
      </c>
      <c r="I16" s="12">
        <f>[APLICAÇÃO]+[REINVESTIR]</f>
        <v>339974.28</v>
      </c>
      <c r="J16" s="14">
        <f>[REAPLICAR] / [RF]</f>
        <v>0.1328350841672031</v>
      </c>
    </row>
    <row r="17" spans="1:10">
      <c r="A17" s="5">
        <v>16</v>
      </c>
      <c r="B17" s="12"/>
      <c r="C17" s="13">
        <v>339974.28</v>
      </c>
      <c r="D17" s="12">
        <f>ROUND([APLICAÇÃO] * 85%, 2)</f>
        <v>288978.14</v>
      </c>
      <c r="E17" s="13">
        <f>[LUCRO LÍQ] * 20%</f>
        <v>57795.628000000004</v>
      </c>
      <c r="F17" s="13">
        <f>[LUCRO LÍQ] - [SALÁRIO] - [PROTEGER]</f>
        <v>28897.814000000013</v>
      </c>
      <c r="G17" s="13">
        <f>[LUCRO LÍQ] * 70%</f>
        <v>202284.698</v>
      </c>
      <c r="H17" s="13">
        <f>SUMPRODUCT(N([ID]=1), [RENDA FIXA]) + SUMPRODUCT(N([ID]&lt;=Tabela13[[#This Row],[ID]]), [PROTEGER]) - SUMPRODUCT(N([ID]=1), [APLICAÇÃO])</f>
        <v>2761655.8319999999</v>
      </c>
      <c r="I17" s="12">
        <f>[APLICAÇÃO]+[REINVESTIR]</f>
        <v>368872.09400000004</v>
      </c>
      <c r="J17" s="14">
        <f>[REAPLICAR] / [RF]</f>
        <v>0.13356917604496057</v>
      </c>
    </row>
    <row r="18" spans="1:10">
      <c r="A18" s="5">
        <v>17</v>
      </c>
      <c r="B18" s="12"/>
      <c r="C18" s="13">
        <v>368872.09</v>
      </c>
      <c r="D18" s="12">
        <f>ROUND([APLICAÇÃO] * 85%, 2)</f>
        <v>313541.28000000003</v>
      </c>
      <c r="E18" s="13">
        <f>[LUCRO LÍQ] * 20%</f>
        <v>62708.256000000008</v>
      </c>
      <c r="F18" s="13">
        <f>[LUCRO LÍQ] - [SALÁRIO] - [PROTEGER]</f>
        <v>31354.128000000026</v>
      </c>
      <c r="G18" s="13">
        <f>[LUCRO LÍQ] * 70%</f>
        <v>219478.89600000001</v>
      </c>
      <c r="H18" s="13">
        <f>SUMPRODUCT(N([ID]=1), [RENDA FIXA]) + SUMPRODUCT(N([ID]&lt;=Tabela13[[#This Row],[ID]]), [PROTEGER]) - SUMPRODUCT(N([ID]=1), [APLICAÇÃO])</f>
        <v>2981134.7280000001</v>
      </c>
      <c r="I18" s="12">
        <f>[APLICAÇÃO]+[REINVESTIR]</f>
        <v>400226.21800000005</v>
      </c>
      <c r="J18" s="14">
        <f>[REAPLICAR] / [RF]</f>
        <v>0.13425297898847596</v>
      </c>
    </row>
    <row r="19" spans="1:10">
      <c r="A19" s="5">
        <v>18</v>
      </c>
      <c r="B19" s="16"/>
      <c r="C19" s="17">
        <v>400226.22</v>
      </c>
      <c r="D19" s="16">
        <f>ROUND([APLICAÇÃO] * 85%, 2)</f>
        <v>340192.29</v>
      </c>
      <c r="E19" s="17">
        <f>[LUCRO LÍQ] * 20%</f>
        <v>68038.457999999999</v>
      </c>
      <c r="F19" s="17">
        <f>[LUCRO LÍQ] - [SALÁRIO] - [PROTEGER]</f>
        <v>34019.229000000021</v>
      </c>
      <c r="G19" s="17">
        <f>[LUCRO LÍQ] * 70%</f>
        <v>238134.60299999997</v>
      </c>
      <c r="H19" s="17">
        <f>SUMPRODUCT(N([ID]=1), [RENDA FIXA]) + SUMPRODUCT(N([ID]&lt;=Tabela13[[#This Row],[ID]]), [PROTEGER]) - SUMPRODUCT(N([ID]=1), [APLICAÇÃO])</f>
        <v>3219269.3309999998</v>
      </c>
      <c r="I19" s="16">
        <f>[APLICAÇÃO]+[REINVESTIR]</f>
        <v>434245.44900000002</v>
      </c>
      <c r="J19" s="18">
        <f>[REAPLICAR] / [RF]</f>
        <v>0.13488944364437833</v>
      </c>
    </row>
    <row r="20" spans="1:10">
      <c r="A20" s="5">
        <v>19</v>
      </c>
      <c r="B20" s="12"/>
      <c r="C20" s="13">
        <v>434245.45</v>
      </c>
      <c r="D20" s="12">
        <f>ROUND([APLICAÇÃO] * 85%, 2)</f>
        <v>369108.63</v>
      </c>
      <c r="E20" s="13">
        <f>[LUCRO LÍQ] * 20%</f>
        <v>73821.72600000001</v>
      </c>
      <c r="F20" s="13">
        <f>[LUCRO LÍQ] - [SALÁRIO] - [PROTEGER]</f>
        <v>36910.862999999983</v>
      </c>
      <c r="G20" s="13">
        <f>[LUCRO LÍQ] * 70%</f>
        <v>258376.041</v>
      </c>
      <c r="H20" s="13">
        <f>SUMPRODUCT(N([ID]=1), [RENDA FIXA]) + SUMPRODUCT(N([ID]&lt;=Tabela13[[#This Row],[ID]]), [PROTEGER]) - SUMPRODUCT(N([ID]=1), [APLICAÇÃO])</f>
        <v>3477645.372</v>
      </c>
      <c r="I20" s="12">
        <f>[APLICAÇÃO]+[REINVESTIR]</f>
        <v>471156.31299999997</v>
      </c>
      <c r="J20" s="14">
        <f>[REAPLICAR] / [RF]</f>
        <v>0.13548141417566023</v>
      </c>
    </row>
    <row r="21" spans="1:10">
      <c r="A21" s="5">
        <v>20</v>
      </c>
      <c r="B21" s="12"/>
      <c r="C21" s="13">
        <v>471156.31</v>
      </c>
      <c r="D21" s="12">
        <f>ROUND([APLICAÇÃO] * 85%, 2)</f>
        <v>400482.86</v>
      </c>
      <c r="E21" s="13">
        <f>[LUCRO LÍQ] * 20%</f>
        <v>80096.572</v>
      </c>
      <c r="F21" s="13">
        <f>[LUCRO LÍQ] - [SALÁRIO] - [PROTEGER]</f>
        <v>40048.286000000022</v>
      </c>
      <c r="G21" s="13">
        <f>[LUCRO LÍQ] * 70%</f>
        <v>280338.00199999998</v>
      </c>
      <c r="H21" s="13">
        <f>SUMPRODUCT(N([ID]=1), [RENDA FIXA]) + SUMPRODUCT(N([ID]&lt;=Tabela13[[#This Row],[ID]]), [PROTEGER]) - SUMPRODUCT(N([ID]=1), [APLICAÇÃO])</f>
        <v>3757983.3739999998</v>
      </c>
      <c r="I21" s="12">
        <f>[APLICAÇÃO]+[REINVESTIR]</f>
        <v>511204.59600000002</v>
      </c>
      <c r="J21" s="14">
        <f>[REAPLICAR] / [RF]</f>
        <v>0.13603162790363107</v>
      </c>
    </row>
    <row r="22" spans="1:10">
      <c r="A22" s="5">
        <v>21</v>
      </c>
      <c r="B22" s="12"/>
      <c r="C22" s="13">
        <v>511204.6</v>
      </c>
      <c r="D22" s="12">
        <f>ROUND([APLICAÇÃO] * 85%, 2)</f>
        <v>434523.91</v>
      </c>
      <c r="E22" s="13">
        <f>[LUCRO LÍQ] * 20%</f>
        <v>86904.782000000007</v>
      </c>
      <c r="F22" s="13">
        <f>[LUCRO LÍQ] - [SALÁRIO] - [PROTEGER]</f>
        <v>43452.391000000003</v>
      </c>
      <c r="G22" s="13">
        <f>[LUCRO LÍQ] * 70%</f>
        <v>304166.73699999996</v>
      </c>
      <c r="H22" s="13">
        <f>SUMPRODUCT(N([ID]=1), [RENDA FIXA]) + SUMPRODUCT(N([ID]&lt;=Tabela13[[#This Row],[ID]]), [PROTEGER]) - SUMPRODUCT(N([ID]=1), [APLICAÇÃO])</f>
        <v>4062150.1109999996</v>
      </c>
      <c r="I22" s="12">
        <f>[APLICAÇÃO]+[REINVESTIR]</f>
        <v>554656.99099999992</v>
      </c>
      <c r="J22" s="14">
        <f>[REAPLICAR] / [RF]</f>
        <v>0.13654271157976908</v>
      </c>
    </row>
    <row r="23" spans="1:10">
      <c r="A23" s="5">
        <v>22</v>
      </c>
      <c r="B23" s="12"/>
      <c r="C23" s="13">
        <v>554656.99</v>
      </c>
      <c r="D23" s="12">
        <f>ROUND([APLICAÇÃO] * 85%, 2)</f>
        <v>471458.44</v>
      </c>
      <c r="E23" s="13">
        <f>[LUCRO LÍQ] * 20%</f>
        <v>94291.688000000009</v>
      </c>
      <c r="F23" s="13">
        <f>[LUCRO LÍQ] - [SALÁRIO] - [PROTEGER]</f>
        <v>47145.843999999983</v>
      </c>
      <c r="G23" s="13">
        <f>[LUCRO LÍQ] * 70%</f>
        <v>330020.908</v>
      </c>
      <c r="H23" s="13">
        <f>SUMPRODUCT(N([ID]=1), [RENDA FIXA]) + SUMPRODUCT(N([ID]&lt;=Tabela13[[#This Row],[ID]]), [PROTEGER]) - SUMPRODUCT(N([ID]=1), [APLICAÇÃO])</f>
        <v>4392171.0189999994</v>
      </c>
      <c r="I23" s="12">
        <f>[APLICAÇÃO]+[REINVESTIR]</f>
        <v>601802.83400000003</v>
      </c>
      <c r="J23" s="14">
        <f>[REAPLICAR] / [RF]</f>
        <v>0.13701716791005494</v>
      </c>
    </row>
    <row r="24" spans="1:10">
      <c r="A24" s="5">
        <v>23</v>
      </c>
      <c r="B24" s="12"/>
      <c r="C24" s="13">
        <v>601802.82999999996</v>
      </c>
      <c r="D24" s="12">
        <f>ROUND([APLICAÇÃO] * 85%, 2)</f>
        <v>511532.41</v>
      </c>
      <c r="E24" s="13">
        <f>[LUCRO LÍQ] * 20%</f>
        <v>102306.482</v>
      </c>
      <c r="F24" s="13">
        <f>[LUCRO LÍQ] - [SALÁRIO] - [PROTEGER]</f>
        <v>51153.24099999998</v>
      </c>
      <c r="G24" s="13">
        <f>[LUCRO LÍQ] * 70%</f>
        <v>358072.68699999998</v>
      </c>
      <c r="H24" s="13">
        <f>SUMPRODUCT(N([ID]=1), [RENDA FIXA]) + SUMPRODUCT(N([ID]&lt;=Tabela13[[#This Row],[ID]]), [PROTEGER]) - SUMPRODUCT(N([ID]=1), [APLICAÇÃO])</f>
        <v>4750243.7059999993</v>
      </c>
      <c r="I24" s="12">
        <f>[APLICAÇÃO]+[REINVESTIR]</f>
        <v>652956.071</v>
      </c>
      <c r="J24" s="14">
        <f>[REAPLICAR] / [RF]</f>
        <v>0.13745738353913417</v>
      </c>
    </row>
    <row r="25" spans="1:10">
      <c r="A25" s="5">
        <v>24</v>
      </c>
      <c r="B25" s="16"/>
      <c r="C25" s="17">
        <v>652956.06999999995</v>
      </c>
      <c r="D25" s="16">
        <f>ROUND([APLICAÇÃO] * 85%, 2)</f>
        <v>555012.66</v>
      </c>
      <c r="E25" s="17">
        <f>[LUCRO LÍQ] * 20%</f>
        <v>111002.53200000001</v>
      </c>
      <c r="F25" s="17">
        <f>[LUCRO LÍQ] - [SALÁRIO] - [PROTEGER]</f>
        <v>55501.266000000003</v>
      </c>
      <c r="G25" s="17">
        <f>[LUCRO LÍQ] * 70%</f>
        <v>388508.86200000002</v>
      </c>
      <c r="H25" s="17">
        <f>SUMPRODUCT(N([ID]=1), [RENDA FIXA]) + SUMPRODUCT(N([ID]&lt;=Tabela13[[#This Row],[ID]]), [PROTEGER]) - SUMPRODUCT(N([ID]=1), [APLICAÇÃO])</f>
        <v>5138752.568</v>
      </c>
      <c r="I25" s="16">
        <f>[APLICAÇÃO]+[REINVESTIR]</f>
        <v>708457.33599999989</v>
      </c>
      <c r="J25" s="18">
        <f>[REAPLICAR] / [RF]</f>
        <v>0.13786562529040605</v>
      </c>
    </row>
    <row r="26" spans="1:10">
      <c r="A26" s="5">
        <v>25</v>
      </c>
      <c r="B26" s="12"/>
      <c r="C26" s="13">
        <v>708457.34</v>
      </c>
      <c r="D26" s="12">
        <f>ROUND([APLICAÇÃO] * 85%, 2)</f>
        <v>602188.74</v>
      </c>
      <c r="E26" s="13">
        <f>[LUCRO LÍQ] * 20%</f>
        <v>120437.74800000001</v>
      </c>
      <c r="F26" s="13">
        <f>[LUCRO LÍQ] - [SALÁRIO] - [PROTEGER]</f>
        <v>60218.874000000011</v>
      </c>
      <c r="G26" s="13">
        <f>[LUCRO LÍQ] * 70%</f>
        <v>421532.11799999996</v>
      </c>
      <c r="H26" s="13">
        <f>SUMPRODUCT(N([ID]=1), [RENDA FIXA]) + SUMPRODUCT(N([ID]&lt;=Tabela13[[#This Row],[ID]]), [PROTEGER]) - SUMPRODUCT(N([ID]=1), [APLICAÇÃO])</f>
        <v>5560284.6859999998</v>
      </c>
      <c r="I26" s="12">
        <f>[APLICAÇÃO]+[REINVESTIR]</f>
        <v>768676.21399999992</v>
      </c>
      <c r="J26" s="14">
        <f>[REAPLICAR] / [RF]</f>
        <v>0.1382440391829966</v>
      </c>
    </row>
    <row r="27" spans="1:10">
      <c r="A27" s="5">
        <v>26</v>
      </c>
      <c r="B27" s="12"/>
      <c r="C27" s="13">
        <v>768676.21</v>
      </c>
      <c r="D27" s="12">
        <f>ROUND([APLICAÇÃO] * 85%, 2)</f>
        <v>653374.78</v>
      </c>
      <c r="E27" s="13">
        <f>[LUCRO LÍQ] * 20%</f>
        <v>130674.95600000001</v>
      </c>
      <c r="F27" s="13">
        <f>[LUCRO LÍQ] - [SALÁRIO] - [PROTEGER]</f>
        <v>65337.478000000003</v>
      </c>
      <c r="G27" s="13">
        <f>[LUCRO LÍQ] * 70%</f>
        <v>457362.34600000002</v>
      </c>
      <c r="H27" s="13">
        <f>SUMPRODUCT(N([ID]=1), [RENDA FIXA]) + SUMPRODUCT(N([ID]&lt;=Tabela13[[#This Row],[ID]]), [PROTEGER]) - SUMPRODUCT(N([ID]=1), [APLICAÇÃO])</f>
        <v>6017647.0319999997</v>
      </c>
      <c r="I27" s="12">
        <f>[APLICAÇÃO]+[REINVESTIR]</f>
        <v>834013.68799999997</v>
      </c>
      <c r="J27" s="14">
        <f>[REAPLICAR] / [RF]</f>
        <v>0.13859465062755777</v>
      </c>
    </row>
    <row r="28" spans="1:10">
      <c r="A28" s="5">
        <v>27</v>
      </c>
      <c r="B28" s="12"/>
      <c r="C28" s="13">
        <v>834013.69</v>
      </c>
      <c r="D28" s="12">
        <f>ROUND([APLICAÇÃO] * 85%, 2)</f>
        <v>708911.64</v>
      </c>
      <c r="E28" s="13">
        <f>[LUCRO LÍQ] * 20%</f>
        <v>141782.32800000001</v>
      </c>
      <c r="F28" s="13">
        <f>[LUCRO LÍQ] - [SALÁRIO] - [PROTEGER]</f>
        <v>70891.164000000048</v>
      </c>
      <c r="G28" s="13">
        <f>[LUCRO LÍQ] * 70%</f>
        <v>496238.14799999999</v>
      </c>
      <c r="H28" s="13">
        <f>SUMPRODUCT(N([ID]=1), [RENDA FIXA]) + SUMPRODUCT(N([ID]&lt;=Tabela13[[#This Row],[ID]]), [PROTEGER]) - SUMPRODUCT(N([ID]=1), [APLICAÇÃO])</f>
        <v>6513885.1799999997</v>
      </c>
      <c r="I28" s="12">
        <f>[APLICAÇÃO]+[REINVESTIR]</f>
        <v>904904.85400000005</v>
      </c>
      <c r="J28" s="14">
        <f>[REAPLICAR] / [RF]</f>
        <v>0.13891937438172652</v>
      </c>
    </row>
    <row r="29" spans="1:10">
      <c r="A29" s="5">
        <v>28</v>
      </c>
      <c r="B29" s="12"/>
      <c r="C29" s="13">
        <v>904904.85</v>
      </c>
      <c r="D29" s="12">
        <f>ROUND([APLICAÇÃO] * 85%, 2)</f>
        <v>769169.12</v>
      </c>
      <c r="E29" s="13">
        <f>[LUCRO LÍQ] * 20%</f>
        <v>153833.82399999999</v>
      </c>
      <c r="F29" s="13">
        <f>[LUCRO LÍQ] - [SALÁRIO] - [PROTEGER]</f>
        <v>76916.912000000011</v>
      </c>
      <c r="G29" s="13">
        <f>[LUCRO LÍQ] * 70%</f>
        <v>538418.38399999996</v>
      </c>
      <c r="H29" s="13">
        <f>SUMPRODUCT(N([ID]=1), [RENDA FIXA]) + SUMPRODUCT(N([ID]&lt;=Tabela13[[#This Row],[ID]]), [PROTEGER]) - SUMPRODUCT(N([ID]=1), [APLICAÇÃO])</f>
        <v>7052303.5639999993</v>
      </c>
      <c r="I29" s="12">
        <f>[APLICAÇÃO]+[REINVESTIR]</f>
        <v>981821.76199999999</v>
      </c>
      <c r="J29" s="14">
        <f>[REAPLICAR] / [RF]</f>
        <v>0.13922000848232347</v>
      </c>
    </row>
    <row r="30" spans="1:10">
      <c r="A30" s="5">
        <v>29</v>
      </c>
      <c r="B30" s="12"/>
      <c r="C30" s="13">
        <v>981821.76</v>
      </c>
      <c r="D30" s="12">
        <f>ROUND([APLICAÇÃO] * 85%, 2)</f>
        <v>834548.5</v>
      </c>
      <c r="E30" s="13">
        <f>[LUCRO LÍQ] * 20%</f>
        <v>166909.70000000001</v>
      </c>
      <c r="F30" s="13">
        <f>[LUCRO LÍQ] - [SALÁRIO] - [PROTEGER]</f>
        <v>83454.850000000093</v>
      </c>
      <c r="G30" s="13">
        <f>[LUCRO LÍQ] * 70%</f>
        <v>584183.94999999995</v>
      </c>
      <c r="H30" s="13">
        <f>SUMPRODUCT(N([ID]=1), [RENDA FIXA]) + SUMPRODUCT(N([ID]&lt;=Tabela13[[#This Row],[ID]]), [PROTEGER]) - SUMPRODUCT(N([ID]=1), [APLICAÇÃO])</f>
        <v>7636487.5139999995</v>
      </c>
      <c r="I30" s="12">
        <f>[APLICAÇÃO]+[REINVESTIR]</f>
        <v>1065276.6100000001</v>
      </c>
      <c r="J30" s="14">
        <f>[REAPLICAR] / [RF]</f>
        <v>0.13949824550187828</v>
      </c>
    </row>
    <row r="31" spans="1:10">
      <c r="A31" s="5">
        <v>30</v>
      </c>
      <c r="B31" s="16"/>
      <c r="C31" s="17">
        <v>1065276.6100000001</v>
      </c>
      <c r="D31" s="16">
        <f>ROUND([APLICAÇÃO] * 85%, 2)</f>
        <v>905485.12</v>
      </c>
      <c r="E31" s="17">
        <f>[LUCRO LÍQ] * 20%</f>
        <v>181097.024</v>
      </c>
      <c r="F31" s="17">
        <f>[LUCRO LÍQ] - [SALÁRIO] - [PROTEGER]</f>
        <v>90548.512000000104</v>
      </c>
      <c r="G31" s="17">
        <f>[LUCRO LÍQ] * 70%</f>
        <v>633839.58399999992</v>
      </c>
      <c r="H31" s="17">
        <f>SUMPRODUCT(N([ID]=1), [RENDA FIXA]) + SUMPRODUCT(N([ID]&lt;=Tabela13[[#This Row],[ID]]), [PROTEGER]) - SUMPRODUCT(N([ID]=1), [APLICAÇÃO])</f>
        <v>8270327.0979999993</v>
      </c>
      <c r="I31" s="16">
        <f>[APLICAÇÃO]+[REINVESTIR]</f>
        <v>1155825.1220000002</v>
      </c>
      <c r="J31" s="18">
        <f>[REAPLICAR] / [RF]</f>
        <v>0.13975567209179812</v>
      </c>
    </row>
    <row r="32" spans="1:10">
      <c r="A32" s="15">
        <v>31</v>
      </c>
      <c r="B32" s="16"/>
      <c r="C32" s="17">
        <v>1155825.1200000001</v>
      </c>
      <c r="D32" s="16">
        <f>ROUND([APLICAÇÃO] * 85%, 2)</f>
        <v>982451.35</v>
      </c>
      <c r="E32" s="17">
        <f>[LUCRO LÍQ] * 20%</f>
        <v>196490.27000000002</v>
      </c>
      <c r="F32" s="17">
        <f>[LUCRO LÍQ] - [SALÁRIO] - [PROTEGER]</f>
        <v>98245.135000000009</v>
      </c>
      <c r="G32" s="17">
        <f>[LUCRO LÍQ] * 70%</f>
        <v>687715.94499999995</v>
      </c>
      <c r="H32" s="17">
        <f>SUMPRODUCT(N([ID]=1), [RENDA FIXA]) + SUMPRODUCT(N([ID]&lt;=Tabela13[[#This Row],[ID]]), [PROTEGER]) - SUMPRODUCT(N([ID]=1), [APLICAÇÃO])</f>
        <v>8958043.0429999996</v>
      </c>
      <c r="I32" s="16">
        <f>[APLICAÇÃO]+[REINVESTIR]</f>
        <v>1254070.2550000001</v>
      </c>
      <c r="J32" s="18">
        <f>[REAPLICAR] / [RF]</f>
        <v>0.13999377419602338</v>
      </c>
    </row>
    <row r="33" spans="1:10">
      <c r="A33" s="15">
        <v>32</v>
      </c>
      <c r="B33" s="16"/>
      <c r="C33" s="17">
        <v>1254070.26</v>
      </c>
      <c r="D33" s="16">
        <f>ROUND([APLICAÇÃO] * 85%, 2)</f>
        <v>1065959.72</v>
      </c>
      <c r="E33" s="17">
        <f>[LUCRO LÍQ] * 20%</f>
        <v>213191.94400000002</v>
      </c>
      <c r="F33" s="17">
        <f>[LUCRO LÍQ] - [SALÁRIO] - [PROTEGER]</f>
        <v>106595.97200000007</v>
      </c>
      <c r="G33" s="17">
        <f>[LUCRO LÍQ] * 70%</f>
        <v>746171.80399999989</v>
      </c>
      <c r="H33" s="17">
        <f>SUMPRODUCT(N([ID]=1), [RENDA FIXA]) + SUMPRODUCT(N([ID]&lt;=Tabela13[[#This Row],[ID]]), [PROTEGER]) - SUMPRODUCT(N([ID]=1), [APLICAÇÃO])</f>
        <v>9704214.8469999991</v>
      </c>
      <c r="I33" s="16">
        <f>[APLICAÇÃO]+[REINVESTIR]</f>
        <v>1360666.2320000001</v>
      </c>
      <c r="J33" s="18">
        <f>[REAPLICAR] / [RF]</f>
        <v>0.14021394347226782</v>
      </c>
    </row>
    <row r="34" spans="1:10">
      <c r="A34" s="15">
        <v>33</v>
      </c>
      <c r="B34" s="12"/>
      <c r="C34" s="13">
        <v>1360666.23</v>
      </c>
      <c r="D34" s="12">
        <f>ROUND([APLICAÇÃO] * 85%, 2)</f>
        <v>1156566.3</v>
      </c>
      <c r="E34" s="13">
        <f>[LUCRO LÍQ] * 20%</f>
        <v>231313.26</v>
      </c>
      <c r="F34" s="13">
        <f>[LUCRO LÍQ] - [SALÁRIO] - [PROTEGER]</f>
        <v>115656.63</v>
      </c>
      <c r="G34" s="13">
        <f>[LUCRO LÍQ] * 70%</f>
        <v>809596.41</v>
      </c>
      <c r="H34" s="13">
        <f>SUMPRODUCT(N([ID]=1), [RENDA FIXA]) + SUMPRODUCT(N([ID]&lt;=Tabela13[[#This Row],[ID]]), [PROTEGER]) - SUMPRODUCT(N([ID]=1), [APLICAÇÃO])</f>
        <v>10513811.256999999</v>
      </c>
      <c r="I34" s="12">
        <f>[APLICAÇÃO]+[REINVESTIR]</f>
        <v>1476322.8599999999</v>
      </c>
      <c r="J34" s="14">
        <f>[REAPLICAR] / [RF]</f>
        <v>0.1404174779166858</v>
      </c>
    </row>
    <row r="35" spans="1:10">
      <c r="A35" s="15">
        <v>34</v>
      </c>
      <c r="B35" s="12"/>
      <c r="C35" s="13">
        <v>1476322.86</v>
      </c>
      <c r="D35" s="12">
        <f>ROUND([APLICAÇÃO] * 85%, 2)</f>
        <v>1254874.43</v>
      </c>
      <c r="E35" s="13">
        <f>[LUCRO LÍQ] * 20%</f>
        <v>250974.886</v>
      </c>
      <c r="F35" s="13">
        <f>[LUCRO LÍQ] - [SALÁRIO] - [PROTEGER]</f>
        <v>125487.44300000009</v>
      </c>
      <c r="G35" s="13">
        <f>[LUCRO LÍQ] * 70%</f>
        <v>878412.10099999991</v>
      </c>
      <c r="H35" s="13">
        <f>SUMPRODUCT(N([ID]=1), [RENDA FIXA]) + SUMPRODUCT(N([ID]&lt;=Tabela13[[#This Row],[ID]]), [PROTEGER]) - SUMPRODUCT(N([ID]=1), [APLICAÇÃO])</f>
        <v>11392223.357999999</v>
      </c>
      <c r="I35" s="12">
        <f>[APLICAÇÃO]+[REINVESTIR]</f>
        <v>1601810.3030000003</v>
      </c>
      <c r="J35" s="14">
        <f>[REAPLICAR] / [RF]</f>
        <v>0.14060559143401588</v>
      </c>
    </row>
    <row r="36" spans="1:10">
      <c r="A36" s="15">
        <v>35</v>
      </c>
      <c r="B36" s="12"/>
      <c r="C36" s="13">
        <v>1601810.3</v>
      </c>
      <c r="D36" s="12">
        <f>ROUND([APLICAÇÃO] * 85%, 2)</f>
        <v>1361538.76</v>
      </c>
      <c r="E36" s="13">
        <f>[LUCRO LÍQ] * 20%</f>
        <v>272307.75200000004</v>
      </c>
      <c r="F36" s="13">
        <f>[LUCRO LÍQ] - [SALÁRIO] - [PROTEGER]</f>
        <v>136153.87599999993</v>
      </c>
      <c r="G36" s="13">
        <f>[LUCRO LÍQ] * 70%</f>
        <v>953077.13199999998</v>
      </c>
      <c r="H36" s="13">
        <f>SUMPRODUCT(N([ID]=1), [RENDA FIXA]) + SUMPRODUCT(N([ID]&lt;=Tabela13[[#This Row],[ID]]), [PROTEGER]) - SUMPRODUCT(N([ID]=1), [APLICAÇÃO])</f>
        <v>12345300.489999998</v>
      </c>
      <c r="I36" s="12">
        <f>[APLICAÇÃO]+[REINVESTIR]</f>
        <v>1737964.176</v>
      </c>
      <c r="J36" s="14">
        <f>[REAPLICAR] / [RF]</f>
        <v>0.14077941459649315</v>
      </c>
    </row>
    <row r="37" spans="1:10">
      <c r="A37" s="15">
        <v>36</v>
      </c>
      <c r="B37" s="16"/>
      <c r="C37" s="17">
        <v>1737964.18</v>
      </c>
      <c r="D37" s="16">
        <f>ROUND([APLICAÇÃO] * 85%, 2)</f>
        <v>1477269.55</v>
      </c>
      <c r="E37" s="17">
        <f>[LUCRO LÍQ] * 20%</f>
        <v>295453.91000000003</v>
      </c>
      <c r="F37" s="17">
        <f>[LUCRO LÍQ] - [SALÁRIO] - [PROTEGER]</f>
        <v>147726.95500000019</v>
      </c>
      <c r="G37" s="17">
        <f>[LUCRO LÍQ] * 70%</f>
        <v>1034088.6849999999</v>
      </c>
      <c r="H37" s="17">
        <f>SUMPRODUCT(N([ID]=1), [RENDA FIXA]) + SUMPRODUCT(N([ID]&lt;=Tabela13[[#This Row],[ID]]), [PROTEGER]) - SUMPRODUCT(N([ID]=1), [APLICAÇÃO])</f>
        <v>13379389.174999999</v>
      </c>
      <c r="I37" s="16">
        <f>[APLICAÇÃO]+[REINVESTIR]</f>
        <v>1885691.1350000002</v>
      </c>
      <c r="J37" s="18">
        <f>[REAPLICAR] / [RF]</f>
        <v>0.14094000184429201</v>
      </c>
    </row>
    <row r="38" spans="1:10">
      <c r="A38" s="15">
        <v>37</v>
      </c>
      <c r="B38" s="12"/>
      <c r="C38" s="13">
        <v>1885691.14</v>
      </c>
      <c r="D38" s="12">
        <f>ROUND([APLICAÇÃO] * 85%, 2)</f>
        <v>1602837.47</v>
      </c>
      <c r="E38" s="13">
        <f>[LUCRO LÍQ] * 20%</f>
        <v>320567.49400000001</v>
      </c>
      <c r="F38" s="13">
        <f>[LUCRO LÍQ] - [SALÁRIO] - [PROTEGER]</f>
        <v>160283.74700000021</v>
      </c>
      <c r="G38" s="13">
        <f>[LUCRO LÍQ] * 70%</f>
        <v>1121986.2289999998</v>
      </c>
      <c r="H38" s="13">
        <f>SUMPRODUCT(N([ID]=1), [RENDA FIXA]) + SUMPRODUCT(N([ID]&lt;=Tabela13[[#This Row],[ID]]), [PROTEGER]) - SUMPRODUCT(N([ID]=1), [APLICAÇÃO])</f>
        <v>14501375.403999999</v>
      </c>
      <c r="I38" s="12">
        <f>[APLICAÇÃO]+[REINVESTIR]</f>
        <v>2045974.8870000001</v>
      </c>
      <c r="J38" s="14">
        <f>[REAPLICAR] / [RF]</f>
        <v>0.14108833334772142</v>
      </c>
    </row>
    <row r="39" spans="1:10">
      <c r="A39" s="15">
        <v>38</v>
      </c>
      <c r="B39" s="12"/>
      <c r="C39" s="13">
        <v>2045974.89</v>
      </c>
      <c r="D39" s="12">
        <f>ROUND([APLICAÇÃO] * 85%, 2)</f>
        <v>1739078.66</v>
      </c>
      <c r="E39" s="13">
        <f>[LUCRO LÍQ] * 20%</f>
        <v>347815.73200000002</v>
      </c>
      <c r="F39" s="13">
        <f>[LUCRO LÍQ] - [SALÁRIO] - [PROTEGER]</f>
        <v>173907.86599999992</v>
      </c>
      <c r="G39" s="13">
        <f>[LUCRO LÍQ] * 70%</f>
        <v>1217355.0619999999</v>
      </c>
      <c r="H39" s="13">
        <f>SUMPRODUCT(N([ID]=1), [RENDA FIXA]) + SUMPRODUCT(N([ID]&lt;=Tabela13[[#This Row],[ID]]), [PROTEGER]) - SUMPRODUCT(N([ID]=1), [APLICAÇÃO])</f>
        <v>15718730.465999998</v>
      </c>
      <c r="I39" s="12">
        <f>[APLICAÇÃO]+[REINVESTIR]</f>
        <v>2219882.7560000001</v>
      </c>
      <c r="J39" s="14">
        <f>[REAPLICAR] / [RF]</f>
        <v>0.14122532101442042</v>
      </c>
    </row>
    <row r="40" spans="1:10">
      <c r="A40" s="15">
        <v>39</v>
      </c>
      <c r="B40" s="12"/>
      <c r="C40" s="13">
        <v>2219882.7599999998</v>
      </c>
      <c r="D40" s="12">
        <f>ROUND([APLICAÇÃO] * 85%, 2)</f>
        <v>1886900.35</v>
      </c>
      <c r="E40" s="13">
        <f>[LUCRO LÍQ] * 20%</f>
        <v>377380.07000000007</v>
      </c>
      <c r="F40" s="13">
        <f>[LUCRO LÍQ] - [SALÁRIO] - [PROTEGER]</f>
        <v>188690.03500000015</v>
      </c>
      <c r="G40" s="13">
        <f>[LUCRO LÍQ] * 70%</f>
        <v>1320830.2449999999</v>
      </c>
      <c r="H40" s="13">
        <f>SUMPRODUCT(N([ID]=1), [RENDA FIXA]) + SUMPRODUCT(N([ID]&lt;=Tabela13[[#This Row],[ID]]), [PROTEGER]) - SUMPRODUCT(N([ID]=1), [APLICAÇÃO])</f>
        <v>17039560.710999995</v>
      </c>
      <c r="I40" s="12">
        <f>[APLICAÇÃO]+[REINVESTIR]</f>
        <v>2408572.7949999999</v>
      </c>
      <c r="J40" s="14">
        <f>[REAPLICAR] / [RF]</f>
        <v>0.14135181275214043</v>
      </c>
    </row>
    <row r="41" spans="1:10">
      <c r="A41" s="15">
        <v>40</v>
      </c>
      <c r="B41" s="12"/>
      <c r="C41" s="13">
        <v>2408572.7999999998</v>
      </c>
      <c r="D41" s="12">
        <f>ROUND([APLICAÇÃO] * 85%, 2)</f>
        <v>2047286.88</v>
      </c>
      <c r="E41" s="13">
        <f>[LUCRO LÍQ] * 20%</f>
        <v>409457.37599999999</v>
      </c>
      <c r="F41" s="13">
        <f>[LUCRO LÍQ] - [SALÁRIO] - [PROTEGER]</f>
        <v>204728.68800000008</v>
      </c>
      <c r="G41" s="13">
        <f>[LUCRO LÍQ] * 70%</f>
        <v>1433100.8159999999</v>
      </c>
      <c r="H41" s="13">
        <f>SUMPRODUCT(N([ID]=1), [RENDA FIXA]) + SUMPRODUCT(N([ID]&lt;=Tabela13[[#This Row],[ID]]), [PROTEGER]) - SUMPRODUCT(N([ID]=1), [APLICAÇÃO])</f>
        <v>18472661.526999999</v>
      </c>
      <c r="I41" s="12">
        <f>[APLICAÇÃO]+[REINVESTIR]</f>
        <v>2613301.4879999999</v>
      </c>
      <c r="J41" s="14">
        <f>[REAPLICAR] / [RF]</f>
        <v>0.14146859585882349</v>
      </c>
    </row>
    <row r="42" spans="1:10">
      <c r="A42" s="15">
        <v>41</v>
      </c>
      <c r="B42" s="12"/>
      <c r="C42" s="13">
        <v>2613301.4900000002</v>
      </c>
      <c r="D42" s="12">
        <f>ROUND([APLICAÇÃO] * 85%, 2)</f>
        <v>2221306.27</v>
      </c>
      <c r="E42" s="13">
        <f>[LUCRO LÍQ] * 20%</f>
        <v>444261.25400000002</v>
      </c>
      <c r="F42" s="13">
        <f>[LUCRO LÍQ] - [SALÁRIO] - [PROTEGER]</f>
        <v>222130.62700000009</v>
      </c>
      <c r="G42" s="13">
        <f>[LUCRO LÍQ] * 70%</f>
        <v>1554914.389</v>
      </c>
      <c r="H42" s="13">
        <f>SUMPRODUCT(N([ID]=1), [RENDA FIXA]) + SUMPRODUCT(N([ID]&lt;=Tabela13[[#This Row],[ID]]), [PROTEGER]) - SUMPRODUCT(N([ID]=1), [APLICAÇÃO])</f>
        <v>20027575.915999997</v>
      </c>
      <c r="I42" s="12">
        <f>[APLICAÇÃO]+[REINVESTIR]</f>
        <v>2835432.1170000006</v>
      </c>
      <c r="J42" s="14">
        <f>[REAPLICAR] / [RF]</f>
        <v>0.14157640090305579</v>
      </c>
    </row>
    <row r="43" spans="1:10">
      <c r="A43" s="15">
        <v>42</v>
      </c>
      <c r="B43" s="12"/>
      <c r="C43" s="13">
        <v>2835432.12</v>
      </c>
      <c r="D43" s="12">
        <f>ROUND([APLICAÇÃO] * 85%, 2)</f>
        <v>2410117.2999999998</v>
      </c>
      <c r="E43" s="13">
        <f>[LUCRO LÍQ] * 20%</f>
        <v>482023.45999999996</v>
      </c>
      <c r="F43" s="13">
        <f>[LUCRO LÍQ] - [SALÁRIO] - [PROTEGER]</f>
        <v>241011.72999999998</v>
      </c>
      <c r="G43" s="13">
        <f>[LUCRO LÍQ] * 70%</f>
        <v>1687082.1099999999</v>
      </c>
      <c r="H43" s="13">
        <f>SUMPRODUCT(N([ID]=1), [RENDA FIXA]) + SUMPRODUCT(N([ID]&lt;=Tabela13[[#This Row],[ID]]), [PROTEGER]) - SUMPRODUCT(N([ID]=1), [APLICAÇÃO])</f>
        <v>21714658.025999997</v>
      </c>
      <c r="I43" s="12">
        <f>[APLICAÇÃO]+[REINVESTIR]</f>
        <v>3076443.85</v>
      </c>
      <c r="J43" s="14">
        <f>[REAPLICAR] / [RF]</f>
        <v>0.1416759060316044</v>
      </c>
    </row>
    <row r="44" spans="1:10">
      <c r="A44" s="15">
        <v>43</v>
      </c>
      <c r="B44" s="12"/>
      <c r="C44" s="13">
        <v>3076443.85</v>
      </c>
      <c r="D44" s="12">
        <f>ROUND([APLICAÇÃO] * 85%, 2)</f>
        <v>2614977.27</v>
      </c>
      <c r="E44" s="13">
        <f>[LUCRO LÍQ] * 20%</f>
        <v>522995.45400000003</v>
      </c>
      <c r="F44" s="13">
        <f>[LUCRO LÍQ] - [SALÁRIO] - [PROTEGER]</f>
        <v>261497.72700000019</v>
      </c>
      <c r="G44" s="13">
        <f>[LUCRO LÍQ] * 70%</f>
        <v>1830484.0889999999</v>
      </c>
      <c r="H44" s="13">
        <f>SUMPRODUCT(N([ID]=1), [RENDA FIXA]) + SUMPRODUCT(N([ID]&lt;=Tabela13[[#This Row],[ID]]), [PROTEGER]) - SUMPRODUCT(N([ID]=1), [APLICAÇÃO])</f>
        <v>23545142.114999998</v>
      </c>
      <c r="I44" s="12">
        <f>[APLICAÇÃO]+[REINVESTIR]</f>
        <v>3337941.5770000005</v>
      </c>
      <c r="J44" s="14">
        <f>[REAPLICAR] / [RF]</f>
        <v>0.14176773963379413</v>
      </c>
    </row>
    <row r="45" spans="1:10">
      <c r="A45" s="15">
        <v>44</v>
      </c>
      <c r="B45" s="12"/>
      <c r="C45" s="13">
        <v>3337941.58</v>
      </c>
      <c r="D45" s="12">
        <f>ROUND([APLICAÇÃO] * 85%, 2)</f>
        <v>2837250.34</v>
      </c>
      <c r="E45" s="13">
        <f>[LUCRO LÍQ] * 20%</f>
        <v>567450.06799999997</v>
      </c>
      <c r="F45" s="13">
        <f>[LUCRO LÍQ] - [SALÁRIO] - [PROTEGER]</f>
        <v>283725.03400000022</v>
      </c>
      <c r="G45" s="13">
        <f>[LUCRO LÍQ] * 70%</f>
        <v>1986075.2379999997</v>
      </c>
      <c r="H45" s="13">
        <f>SUMPRODUCT(N([ID]=1), [RENDA FIXA]) + SUMPRODUCT(N([ID]&lt;=Tabela13[[#This Row],[ID]]), [PROTEGER]) - SUMPRODUCT(N([ID]=1), [APLICAÇÃO])</f>
        <v>25531217.352999996</v>
      </c>
      <c r="I45" s="12">
        <f>[APLICAÇÃO]+[REINVESTIR]</f>
        <v>3621666.6140000001</v>
      </c>
      <c r="J45" s="14">
        <f>[REAPLICAR] / [RF]</f>
        <v>0.14185248450655813</v>
      </c>
    </row>
    <row r="46" spans="1:10">
      <c r="A46" s="15">
        <v>45</v>
      </c>
      <c r="B46" s="12"/>
      <c r="C46" s="13">
        <v>3621666.61</v>
      </c>
      <c r="D46" s="12">
        <f>ROUND([APLICAÇÃO] * 85%, 2)</f>
        <v>3078416.62</v>
      </c>
      <c r="E46" s="13">
        <f>[LUCRO LÍQ] * 20%</f>
        <v>615683.32400000002</v>
      </c>
      <c r="F46" s="13">
        <f>[LUCRO LÍQ] - [SALÁRIO] - [PROTEGER]</f>
        <v>307841.66200000001</v>
      </c>
      <c r="G46" s="13">
        <f>[LUCRO LÍQ] * 70%</f>
        <v>2154891.6340000001</v>
      </c>
      <c r="H46" s="13">
        <f>SUMPRODUCT(N([ID]=1), [RENDA FIXA]) + SUMPRODUCT(N([ID]&lt;=Tabela13[[#This Row],[ID]]), [PROTEGER]) - SUMPRODUCT(N([ID]=1), [APLICAÇÃO])</f>
        <v>27686108.986999996</v>
      </c>
      <c r="I46" s="12">
        <f>[APLICAÇÃO]+[REINVESTIR]</f>
        <v>3929508.2719999999</v>
      </c>
      <c r="J46" s="14">
        <f>[REAPLICAR] / [RF]</f>
        <v>0.14193067988878824</v>
      </c>
    </row>
    <row r="47" spans="1:10">
      <c r="A47" s="15">
        <v>46</v>
      </c>
      <c r="B47" s="12"/>
      <c r="C47" s="13">
        <v>3929508.27</v>
      </c>
      <c r="D47" s="12">
        <f>ROUND([APLICAÇÃO] * 85%, 2)</f>
        <v>3340082.03</v>
      </c>
      <c r="E47" s="13">
        <f>[LUCRO LÍQ] * 20%</f>
        <v>668016.40599999996</v>
      </c>
      <c r="F47" s="13">
        <f>[LUCRO LÍQ] - [SALÁRIO] - [PROTEGER]</f>
        <v>334008.20300000021</v>
      </c>
      <c r="G47" s="13">
        <f>[LUCRO LÍQ] * 70%</f>
        <v>2338057.4209999996</v>
      </c>
      <c r="H47" s="13">
        <f>SUMPRODUCT(N([ID]=1), [RENDA FIXA]) + SUMPRODUCT(N([ID]&lt;=Tabela13[[#This Row],[ID]]), [PROTEGER]) - SUMPRODUCT(N([ID]=1), [APLICAÇÃO])</f>
        <v>30024166.407999996</v>
      </c>
      <c r="I47" s="12">
        <f>[APLICAÇÃO]+[REINVESTIR]</f>
        <v>4263516.4730000002</v>
      </c>
      <c r="J47" s="14">
        <f>[REAPLICAR] / [RF]</f>
        <v>0.14200282582579804</v>
      </c>
    </row>
    <row r="48" spans="1:10">
      <c r="A48" s="15">
        <v>47</v>
      </c>
      <c r="B48" s="16"/>
      <c r="C48" s="17">
        <v>4263516.47</v>
      </c>
      <c r="D48" s="16">
        <f>ROUND([APLICAÇÃO] * 85%, 2)</f>
        <v>3623989</v>
      </c>
      <c r="E48" s="17">
        <f>[LUCRO LÍQ] * 20%</f>
        <v>724797.8</v>
      </c>
      <c r="F48" s="17">
        <f>[LUCRO LÍQ] - [SALÁRIO] - [PROTEGER]</f>
        <v>362398.90000000037</v>
      </c>
      <c r="G48" s="17">
        <f>[LUCRO LÍQ] * 70%</f>
        <v>2536792.2999999998</v>
      </c>
      <c r="H48" s="17">
        <f>SUMPRODUCT(N([ID]=1), [RENDA FIXA]) + SUMPRODUCT(N([ID]&lt;=Tabela13[[#This Row],[ID]]), [PROTEGER]) - SUMPRODUCT(N([ID]=1), [APLICAÇÃO])</f>
        <v>32560958.707999997</v>
      </c>
      <c r="I48" s="16">
        <f>[APLICAÇÃO]+[REINVESTIR]</f>
        <v>4625915.37</v>
      </c>
      <c r="J48" s="18">
        <f>[REAPLICAR] / [RF]</f>
        <v>0.14206938473416159</v>
      </c>
    </row>
    <row r="49" spans="1:10">
      <c r="A49" s="15">
        <v>48</v>
      </c>
      <c r="B49" s="16"/>
      <c r="C49" s="17">
        <v>4625915.37</v>
      </c>
      <c r="D49" s="16">
        <f>ROUND([APLICAÇÃO] * 85%, 2)</f>
        <v>3932028.06</v>
      </c>
      <c r="E49" s="17">
        <f>[LUCRO LÍQ] * 20%</f>
        <v>786405.61200000008</v>
      </c>
      <c r="F49" s="17">
        <f>[LUCRO LÍQ] - [SALÁRIO] - [PROTEGER]</f>
        <v>393202.80599999987</v>
      </c>
      <c r="G49" s="17">
        <f>[LUCRO LÍQ] * 70%</f>
        <v>2752419.642</v>
      </c>
      <c r="H49" s="17">
        <f>SUMPRODUCT(N([ID]=1), [RENDA FIXA]) + SUMPRODUCT(N([ID]&lt;=Tabela13[[#This Row],[ID]]), [PROTEGER]) - SUMPRODUCT(N([ID]=1), [APLICAÇÃO])</f>
        <v>35313378.349999994</v>
      </c>
      <c r="I49" s="16">
        <f>[APLICAÇÃO]+[REINVESTIR]</f>
        <v>5019118.176</v>
      </c>
      <c r="J49" s="18">
        <f>[REAPLICAR] / [RF]</f>
        <v>0.14213078472000684</v>
      </c>
    </row>
    <row r="50" spans="1:10">
      <c r="A50" s="15">
        <v>49</v>
      </c>
      <c r="B50" s="2"/>
      <c r="C50" s="8">
        <v>5019118.18</v>
      </c>
      <c r="D50" s="2">
        <f>ROUND([APLICAÇÃO] * 85%, 2)</f>
        <v>4266250.45</v>
      </c>
      <c r="E50" s="8">
        <f>[LUCRO LÍQ] * 20%</f>
        <v>853250.09000000008</v>
      </c>
      <c r="F50" s="8">
        <f>[LUCRO LÍQ] - [SALÁRIO] - [PROTEGER]</f>
        <v>426625.04500000039</v>
      </c>
      <c r="G50" s="8">
        <f>[LUCRO LÍQ] * 70%</f>
        <v>2986375.3149999999</v>
      </c>
      <c r="H50" s="8">
        <f>SUMPRODUCT(N([ID]=1), [RENDA FIXA]) + SUMPRODUCT(N([ID]&lt;=Tabela13[[#This Row],[ID]]), [PROTEGER]) - SUMPRODUCT(N([ID]=1), [APLICAÇÃO])</f>
        <v>38299753.664999992</v>
      </c>
      <c r="I50" s="2">
        <f>[APLICAÇÃO]+[REINVESTIR]</f>
        <v>5445743.2249999996</v>
      </c>
      <c r="J50" s="10">
        <f>[REAPLICAR] / [RF]</f>
        <v>0.14218742169030085</v>
      </c>
    </row>
    <row r="51" spans="1:10">
      <c r="A51" s="15">
        <v>50</v>
      </c>
      <c r="B51" s="2"/>
      <c r="C51" s="8">
        <v>5445743.2300000004</v>
      </c>
      <c r="D51" s="2">
        <f>ROUND([APLICAÇÃO] * 85%, 2)</f>
        <v>4628881.75</v>
      </c>
      <c r="E51" s="8">
        <f>[LUCRO LÍQ] * 20%</f>
        <v>925776.35000000009</v>
      </c>
      <c r="F51" s="8">
        <f>[LUCRO LÍQ] - [SALÁRIO] - [PROTEGER]</f>
        <v>462888.17500000028</v>
      </c>
      <c r="G51" s="8">
        <f>[LUCRO LÍQ] * 70%</f>
        <v>3240217.2249999996</v>
      </c>
      <c r="H51" s="8">
        <f>SUMPRODUCT(N([ID]=1), [RENDA FIXA]) + SUMPRODUCT(N([ID]&lt;=Tabela13[[#This Row],[ID]]), [PROTEGER]) - SUMPRODUCT(N([ID]=1), [APLICAÇÃO])</f>
        <v>41539970.889999993</v>
      </c>
      <c r="I51" s="2">
        <f>[APLICAÇÃO]+[REINVESTIR]</f>
        <v>5908631.4050000012</v>
      </c>
      <c r="J51" s="10">
        <f>[REAPLICAR] / [RF]</f>
        <v>0.14223966166578125</v>
      </c>
    </row>
    <row r="52" spans="1:10">
      <c r="A52" s="15">
        <v>51</v>
      </c>
      <c r="B52" s="2"/>
      <c r="C52" s="8">
        <v>5908631.4100000001</v>
      </c>
      <c r="D52" s="2">
        <f>ROUND([APLICAÇÃO] * 85%, 2)</f>
        <v>5022336.7</v>
      </c>
      <c r="E52" s="8">
        <f>[LUCRO LÍQ] * 20%</f>
        <v>1004467.3400000001</v>
      </c>
      <c r="F52" s="8">
        <f>[LUCRO LÍQ] - [SALÁRIO] - [PROTEGER]</f>
        <v>502233.67000000039</v>
      </c>
      <c r="G52" s="8">
        <f>[LUCRO LÍQ] * 70%</f>
        <v>3515635.69</v>
      </c>
      <c r="H52" s="8">
        <f>SUMPRODUCT(N([ID]=1), [RENDA FIXA]) + SUMPRODUCT(N([ID]&lt;=Tabela13[[#This Row],[ID]]), [PROTEGER]) - SUMPRODUCT(N([ID]=1), [APLICAÇÃO])</f>
        <v>45055606.579999991</v>
      </c>
      <c r="I52" s="2">
        <f>[APLICAÇÃO]+[REINVESTIR]</f>
        <v>6410865.0800000001</v>
      </c>
      <c r="J52" s="10">
        <f>[REAPLICAR] / [RF]</f>
        <v>0.14228784310376499</v>
      </c>
    </row>
    <row r="53" spans="1:10">
      <c r="A53" s="15">
        <v>52</v>
      </c>
      <c r="B53" s="2"/>
      <c r="C53" s="8">
        <v>6410865.0800000001</v>
      </c>
      <c r="D53" s="2">
        <f>ROUND([APLICAÇÃO] * 85%, 2)</f>
        <v>5449235.3200000003</v>
      </c>
      <c r="E53" s="8">
        <f>[LUCRO LÍQ] * 20%</f>
        <v>1089847.064</v>
      </c>
      <c r="F53" s="8">
        <f>[LUCRO LÍQ] - [SALÁRIO] - [PROTEGER]</f>
        <v>544923.53200000012</v>
      </c>
      <c r="G53" s="8">
        <f>[LUCRO LÍQ] * 70%</f>
        <v>3814464.7239999999</v>
      </c>
      <c r="H53" s="8">
        <f>SUMPRODUCT(N([ID]=1), [RENDA FIXA]) + SUMPRODUCT(N([ID]&lt;=Tabela13[[#This Row],[ID]]), [PROTEGER]) - SUMPRODUCT(N([ID]=1), [APLICAÇÃO])</f>
        <v>48870071.30399999</v>
      </c>
      <c r="I53" s="2">
        <f>[APLICAÇÃO]+[REINVESTIR]</f>
        <v>6955788.6119999997</v>
      </c>
      <c r="J53" s="10">
        <f>[REAPLICAR] / [RF]</f>
        <v>0.14233227876282373</v>
      </c>
    </row>
    <row r="54" spans="1:10">
      <c r="A54" s="15">
        <v>53</v>
      </c>
      <c r="B54" s="2"/>
      <c r="C54" s="8">
        <v>6955788.6100000003</v>
      </c>
      <c r="D54" s="2">
        <f>ROUND([APLICAÇÃO] * 85%, 2)</f>
        <v>5912420.3200000003</v>
      </c>
      <c r="E54" s="8">
        <f>[LUCRO LÍQ] * 20%</f>
        <v>1182484.064</v>
      </c>
      <c r="F54" s="8">
        <f>[LUCRO LÍQ] - [SALÁRIO] - [PROTEGER]</f>
        <v>591242.03200000012</v>
      </c>
      <c r="G54" s="8">
        <f>[LUCRO LÍQ] * 70%</f>
        <v>4138694.2239999999</v>
      </c>
      <c r="H54" s="8">
        <f>SUMPRODUCT(N([ID]=1), [RENDA FIXA]) + SUMPRODUCT(N([ID]&lt;=Tabela13[[#This Row],[ID]]), [PROTEGER]) - SUMPRODUCT(N([ID]=1), [APLICAÇÃO])</f>
        <v>53008765.52799999</v>
      </c>
      <c r="I54" s="2">
        <f>[APLICAÇÃO]+[REINVESTIR]</f>
        <v>7547030.6420000009</v>
      </c>
      <c r="J54" s="10">
        <f>[REAPLICAR] / [RF]</f>
        <v>0.14237325783437743</v>
      </c>
    </row>
    <row r="55" spans="1:10">
      <c r="A55" s="15">
        <v>54</v>
      </c>
      <c r="B55" s="2"/>
      <c r="C55" s="8">
        <v>7547030.6399999997</v>
      </c>
      <c r="D55" s="2">
        <f>ROUND([APLICAÇÃO] * 85%, 2)</f>
        <v>6414976.04</v>
      </c>
      <c r="E55" s="8">
        <f>[LUCRO LÍQ] * 20%</f>
        <v>1282995.2080000001</v>
      </c>
      <c r="F55" s="8">
        <f>[LUCRO LÍQ] - [SALÁRIO] - [PROTEGER]</f>
        <v>641497.60400000028</v>
      </c>
      <c r="G55" s="8">
        <f>[LUCRO LÍQ] * 70%</f>
        <v>4490483.2280000001</v>
      </c>
      <c r="H55" s="8">
        <f>SUMPRODUCT(N([ID]=1), [RENDA FIXA]) + SUMPRODUCT(N([ID]&lt;=Tabela13[[#This Row],[ID]]), [PROTEGER]) - SUMPRODUCT(N([ID]=1), [APLICAÇÃO])</f>
        <v>57499248.75599999</v>
      </c>
      <c r="I55" s="2">
        <f>[APLICAÇÃO]+[REINVESTIR]</f>
        <v>8188528.2439999999</v>
      </c>
      <c r="J55" s="10">
        <f>[REAPLICAR] / [RF]</f>
        <v>0.14241104746860775</v>
      </c>
    </row>
    <row r="56" spans="1:10">
      <c r="A56" s="15">
        <v>55</v>
      </c>
      <c r="B56" s="2"/>
      <c r="C56" s="8">
        <v>8188528.2400000002</v>
      </c>
      <c r="D56" s="2">
        <f>ROUND([APLICAÇÃO] * 85%, 2)</f>
        <v>6960249</v>
      </c>
      <c r="E56" s="8">
        <f>[LUCRO LÍQ] * 20%</f>
        <v>1392049.8</v>
      </c>
      <c r="F56" s="8">
        <f>[LUCRO LÍQ] - [SALÁRIO] - [PROTEGER]</f>
        <v>696024.90000000037</v>
      </c>
      <c r="G56" s="8">
        <f>[LUCRO LÍQ] * 70%</f>
        <v>4872174.3</v>
      </c>
      <c r="H56" s="8">
        <f>SUMPRODUCT(N([ID]=1), [RENDA FIXA]) + SUMPRODUCT(N([ID]&lt;=Tabela13[[#This Row],[ID]]), [PROTEGER]) - SUMPRODUCT(N([ID]=1), [APLICAÇÃO])</f>
        <v>62371423.055999987</v>
      </c>
      <c r="I56" s="2">
        <f>[APLICAÇÃO]+[REINVESTIR]</f>
        <v>8884553.1400000006</v>
      </c>
      <c r="J56" s="10">
        <f>[REAPLICAR] / [RF]</f>
        <v>0.14244589436452385</v>
      </c>
    </row>
    <row r="57" spans="1:10">
      <c r="A57" s="15">
        <v>56</v>
      </c>
      <c r="B57" s="2"/>
      <c r="C57" s="8">
        <v>8884553.1400000006</v>
      </c>
      <c r="D57" s="2">
        <f>ROUND([APLICAÇÃO] * 85%, 2)</f>
        <v>7551870.1699999999</v>
      </c>
      <c r="E57" s="8">
        <f>[LUCRO LÍQ] * 20%</f>
        <v>1510374.034</v>
      </c>
      <c r="F57" s="8">
        <f>[LUCRO LÍQ] - [SALÁRIO] - [PROTEGER]</f>
        <v>755187.01699999999</v>
      </c>
      <c r="G57" s="8">
        <f>[LUCRO LÍQ] * 70%</f>
        <v>5286309.1189999999</v>
      </c>
      <c r="H57" s="8">
        <f>SUMPRODUCT(N([ID]=1), [RENDA FIXA]) + SUMPRODUCT(N([ID]&lt;=Tabela13[[#This Row],[ID]]), [PROTEGER]) - SUMPRODUCT(N([ID]=1), [APLICAÇÃO])</f>
        <v>67657732.174999982</v>
      </c>
      <c r="I57" s="2">
        <f>[APLICAÇÃO]+[REINVESTIR]</f>
        <v>9639740.1570000015</v>
      </c>
      <c r="J57" s="10">
        <f>[REAPLICAR] / [RF]</f>
        <v>0.14247802648877367</v>
      </c>
    </row>
    <row r="58" spans="1:10">
      <c r="A58" s="15">
        <v>57</v>
      </c>
      <c r="B58" s="2"/>
      <c r="C58" s="8">
        <v>9639740.1600000001</v>
      </c>
      <c r="D58" s="2">
        <f>ROUND([APLICAÇÃO] * 85%, 2)</f>
        <v>8193779.1399999997</v>
      </c>
      <c r="E58" s="8">
        <f>[LUCRO LÍQ] * 20%</f>
        <v>1638755.828</v>
      </c>
      <c r="F58" s="8">
        <f>[LUCRO LÍQ] - [SALÁRIO] - [PROTEGER]</f>
        <v>819377.9140000008</v>
      </c>
      <c r="G58" s="8">
        <f>[LUCRO LÍQ] * 70%</f>
        <v>5735645.3979999991</v>
      </c>
      <c r="H58" s="8">
        <f>SUMPRODUCT(N([ID]=1), [RENDA FIXA]) + SUMPRODUCT(N([ID]&lt;=Tabela13[[#This Row],[ID]]), [PROTEGER]) - SUMPRODUCT(N([ID]=1), [APLICAÇÃO])</f>
        <v>73393377.572999984</v>
      </c>
      <c r="I58" s="2">
        <f>[APLICAÇÃO]+[REINVESTIR]</f>
        <v>10459118.074000001</v>
      </c>
      <c r="J58" s="10">
        <f>[REAPLICAR] / [RF]</f>
        <v>0.14250765423075051</v>
      </c>
    </row>
    <row r="59" spans="1:10">
      <c r="A59" s="15">
        <v>58</v>
      </c>
      <c r="B59" s="2"/>
      <c r="C59" s="8">
        <v>10459118.07</v>
      </c>
      <c r="D59" s="2">
        <f>ROUND([APLICAÇÃO] * 85%, 2)</f>
        <v>8890250.3599999994</v>
      </c>
      <c r="E59" s="8">
        <f>[LUCRO LÍQ] * 20%</f>
        <v>1778050.0719999999</v>
      </c>
      <c r="F59" s="8">
        <f>[LUCRO LÍQ] - [SALÁRIO] - [PROTEGER]</f>
        <v>889025.03600000031</v>
      </c>
      <c r="G59" s="8">
        <f>[LUCRO LÍQ] * 70%</f>
        <v>6223175.2519999994</v>
      </c>
      <c r="H59" s="8">
        <f>SUMPRODUCT(N([ID]=1), [RENDA FIXA]) + SUMPRODUCT(N([ID]&lt;=Tabela13[[#This Row],[ID]]), [PROTEGER]) - SUMPRODUCT(N([ID]=1), [APLICAÇÃO])</f>
        <v>79616552.824999988</v>
      </c>
      <c r="I59" s="2">
        <f>[APLICAÇÃO]+[REINVESTIR]</f>
        <v>11348143.106000001</v>
      </c>
      <c r="J59" s="10">
        <f>[REAPLICAR] / [RF]</f>
        <v>0.14253497172809809</v>
      </c>
    </row>
    <row r="60" spans="1:10">
      <c r="A60" s="15">
        <v>59</v>
      </c>
      <c r="B60" s="2"/>
      <c r="C60" s="8">
        <v>11348143.109999999</v>
      </c>
      <c r="D60" s="2">
        <f>ROUND([APLICAÇÃO] * 85%, 2)</f>
        <v>9645921.6400000006</v>
      </c>
      <c r="E60" s="8">
        <f>[LUCRO LÍQ] * 20%</f>
        <v>1929184.3280000002</v>
      </c>
      <c r="F60" s="8">
        <f>[LUCRO LÍQ] - [SALÁRIO] - [PROTEGER]</f>
        <v>964592.1640000008</v>
      </c>
      <c r="G60" s="8">
        <f>[LUCRO LÍQ] * 70%</f>
        <v>6752145.148</v>
      </c>
      <c r="H60" s="8">
        <f>SUMPRODUCT(N([ID]=1), [RENDA FIXA]) + SUMPRODUCT(N([ID]&lt;=Tabela13[[#This Row],[ID]]), [PROTEGER]) - SUMPRODUCT(N([ID]=1), [APLICAÇÃO])</f>
        <v>86368697.97299999</v>
      </c>
      <c r="I60" s="2">
        <f>[APLICAÇÃO]+[REINVESTIR]</f>
        <v>12312735.274</v>
      </c>
      <c r="J60" s="10">
        <f>[REAPLICAR] / [RF]</f>
        <v>0.14256015851772047</v>
      </c>
    </row>
    <row r="61" spans="1:10">
      <c r="A61" s="15">
        <v>60</v>
      </c>
      <c r="B61" s="3"/>
      <c r="C61" s="9">
        <v>12312735.27</v>
      </c>
      <c r="D61" s="3">
        <f>ROUND([APLICAÇÃO] * 85%, 2)</f>
        <v>10465824.98</v>
      </c>
      <c r="E61" s="9">
        <f>[LUCRO LÍQ] * 20%</f>
        <v>2093164.9960000003</v>
      </c>
      <c r="F61" s="9">
        <f>[LUCRO LÍQ] - [SALÁRIO] - [PROTEGER]</f>
        <v>1046582.4980000006</v>
      </c>
      <c r="G61" s="9">
        <f>[LUCRO LÍQ] * 70%</f>
        <v>7326077.4859999996</v>
      </c>
      <c r="H61" s="9">
        <f>SUMPRODUCT(N([ID]=1), [RENDA FIXA]) + SUMPRODUCT(N([ID]&lt;=Tabela13[[#This Row],[ID]]), [PROTEGER]) - SUMPRODUCT(N([ID]=1), [APLICAÇÃO])</f>
        <v>93694775.458999991</v>
      </c>
      <c r="I61" s="3">
        <f>[APLICAÇÃO]+[REINVESTIR]</f>
        <v>13359317.767999999</v>
      </c>
      <c r="J61" s="20">
        <f>[REAPLICAR] / [RF]</f>
        <v>0.14258337994359055</v>
      </c>
    </row>
    <row r="62" spans="1:10">
      <c r="A62" s="15">
        <v>61</v>
      </c>
      <c r="B62" s="2"/>
      <c r="C62" s="8">
        <v>13359317.77</v>
      </c>
      <c r="D62" s="2">
        <f>ROUND([APLICAÇÃO] * 85%, 2)</f>
        <v>11355420.1</v>
      </c>
      <c r="E62" s="8">
        <f>[LUCRO LÍQ] * 20%</f>
        <v>2271084.02</v>
      </c>
      <c r="F62" s="8">
        <f>[LUCRO LÍQ] - [SALÁRIO] - [PROTEGER]</f>
        <v>1135542.0100000007</v>
      </c>
      <c r="G62" s="8">
        <f>[LUCRO LÍQ] * 70%</f>
        <v>7948794.0699999994</v>
      </c>
      <c r="H62" s="8">
        <f>SUMPRODUCT(N([ID]=1), [RENDA FIXA]) + SUMPRODUCT(N([ID]&lt;=Tabela13[[#This Row],[ID]]), [PROTEGER]) - SUMPRODUCT(N([ID]=1), [APLICAÇÃO])</f>
        <v>101643569.52899998</v>
      </c>
      <c r="I62" s="2">
        <f>[APLICAÇÃO]+[REINVESTIR]</f>
        <v>14494859.780000001</v>
      </c>
      <c r="J62" s="10">
        <f>[REAPLICAR] / [RF]</f>
        <v>0.14260478894205367</v>
      </c>
    </row>
    <row r="63" spans="1:10">
      <c r="A63" s="15">
        <v>62</v>
      </c>
      <c r="B63" s="2"/>
      <c r="C63" s="8">
        <v>14494859.779999999</v>
      </c>
      <c r="D63" s="2">
        <f>ROUND([APLICAÇÃO] * 85%, 2)</f>
        <v>12320630.810000001</v>
      </c>
      <c r="E63" s="8">
        <f>[LUCRO LÍQ] * 20%</f>
        <v>2464126.162</v>
      </c>
      <c r="F63" s="8">
        <f>[LUCRO LÍQ] - [SALÁRIO] - [PROTEGER]</f>
        <v>1232063.0810000002</v>
      </c>
      <c r="G63" s="8">
        <f>[LUCRO LÍQ] * 70%</f>
        <v>8624441.5669999998</v>
      </c>
      <c r="H63" s="8">
        <f>SUMPRODUCT(N([ID]=1), [RENDA FIXA]) + SUMPRODUCT(N([ID]&lt;=Tabela13[[#This Row],[ID]]), [PROTEGER]) - SUMPRODUCT(N([ID]=1), [APLICAÇÃO])</f>
        <v>110268011.09599999</v>
      </c>
      <c r="I63" s="2">
        <f>[APLICAÇÃO]+[REINVESTIR]</f>
        <v>15726922.861</v>
      </c>
      <c r="J63" s="10">
        <f>[REAPLICAR] / [RF]</f>
        <v>0.14262452641236131</v>
      </c>
    </row>
    <row r="64" spans="1:10">
      <c r="A64" s="15">
        <v>63</v>
      </c>
      <c r="B64" s="2"/>
      <c r="C64" s="8">
        <v>15726922.859999999</v>
      </c>
      <c r="D64" s="2">
        <f>ROUND([APLICAÇÃO] * 85%, 2)</f>
        <v>13367884.43</v>
      </c>
      <c r="E64" s="8">
        <f>[LUCRO LÍQ] * 20%</f>
        <v>2673576.8859999999</v>
      </c>
      <c r="F64" s="8">
        <f>[LUCRO LÍQ] - [SALÁRIO] - [PROTEGER]</f>
        <v>1336788.443</v>
      </c>
      <c r="G64" s="8">
        <f>[LUCRO LÍQ] * 70%</f>
        <v>9357519.1009999998</v>
      </c>
      <c r="H64" s="8">
        <f>SUMPRODUCT(N([ID]=1), [RENDA FIXA]) + SUMPRODUCT(N([ID]&lt;=Tabela13[[#This Row],[ID]]), [PROTEGER]) - SUMPRODUCT(N([ID]=1), [APLICAÇÃO])</f>
        <v>119625530.19699998</v>
      </c>
      <c r="I64" s="2">
        <f>[APLICAÇÃO]+[REINVESTIR]</f>
        <v>17063711.302999999</v>
      </c>
      <c r="J64" s="10">
        <f>[REAPLICAR] / [RF]</f>
        <v>0.14264272245982429</v>
      </c>
    </row>
    <row r="65" spans="1:10">
      <c r="A65" s="15">
        <v>64</v>
      </c>
      <c r="B65" s="2"/>
      <c r="C65" s="8">
        <v>17063711.300000001</v>
      </c>
      <c r="D65" s="2">
        <f>ROUND([APLICAÇÃO] * 85%, 2)</f>
        <v>14504154.609999999</v>
      </c>
      <c r="E65" s="8">
        <f>[LUCRO LÍQ] * 20%</f>
        <v>2900830.9220000003</v>
      </c>
      <c r="F65" s="8">
        <f>[LUCRO LÍQ] - [SALÁRIO] - [PROTEGER]</f>
        <v>1450415.4610000011</v>
      </c>
      <c r="G65" s="8">
        <f>[LUCRO LÍQ] * 70%</f>
        <v>10152908.226999998</v>
      </c>
      <c r="H65" s="8">
        <f>SUMPRODUCT(N([ID]=1), [RENDA FIXA]) + SUMPRODUCT(N([ID]&lt;=Tabela13[[#This Row],[ID]]), [PROTEGER]) - SUMPRODUCT(N([ID]=1), [APLICAÇÃO])</f>
        <v>129778438.42399998</v>
      </c>
      <c r="I65" s="2">
        <f>[APLICAÇÃO]+[REINVESTIR]</f>
        <v>18514126.761</v>
      </c>
      <c r="J65" s="10">
        <f>[REAPLICAR] / [RF]</f>
        <v>0.14265949710777359</v>
      </c>
    </row>
    <row r="66" spans="1:10">
      <c r="A66" s="15">
        <v>65</v>
      </c>
      <c r="B66" s="2"/>
      <c r="C66" s="8">
        <v>18514126.760000002</v>
      </c>
      <c r="D66" s="2">
        <f>ROUND([APLICAÇÃO] * 85%, 2)</f>
        <v>15737007.75</v>
      </c>
      <c r="E66" s="8">
        <f>[LUCRO LÍQ] * 20%</f>
        <v>3147401.5500000003</v>
      </c>
      <c r="F66" s="8">
        <f>[LUCRO LÍQ] - [SALÁRIO] - [PROTEGER]</f>
        <v>1573700.7750000004</v>
      </c>
      <c r="G66" s="8">
        <f>[LUCRO LÍQ] * 70%</f>
        <v>11015905.424999999</v>
      </c>
      <c r="H66" s="8">
        <f>SUMPRODUCT(N([ID]=1), [RENDA FIXA]) + SUMPRODUCT(N([ID]&lt;=Tabela13[[#This Row],[ID]]), [PROTEGER]) - SUMPRODUCT(N([ID]=1), [APLICAÇÃO])</f>
        <v>140794343.84899998</v>
      </c>
      <c r="I66" s="2">
        <f>[APLICAÇÃO]+[REINVESTIR]</f>
        <v>20087827.535000004</v>
      </c>
      <c r="J66" s="10">
        <f>[REAPLICAR] / [RF]</f>
        <v>0.14267496112304004</v>
      </c>
    </row>
    <row r="67" spans="1:10">
      <c r="A67" s="15">
        <v>66</v>
      </c>
      <c r="B67" s="2"/>
      <c r="C67" s="8">
        <v>20087827.539999999</v>
      </c>
      <c r="D67" s="2">
        <f>ROUND([APLICAÇÃO] * 85%, 2)</f>
        <v>17074653.41</v>
      </c>
      <c r="E67" s="8">
        <f>[LUCRO LÍQ] * 20%</f>
        <v>3414930.682</v>
      </c>
      <c r="F67" s="8">
        <f>[LUCRO LÍQ] - [SALÁRIO] - [PROTEGER]</f>
        <v>1707465.341</v>
      </c>
      <c r="G67" s="8">
        <f>[LUCRO LÍQ] * 70%</f>
        <v>11952257.387</v>
      </c>
      <c r="H67" s="8">
        <f>SUMPRODUCT(N([ID]=1), [RENDA FIXA]) + SUMPRODUCT(N([ID]&lt;=Tabela13[[#This Row],[ID]]), [PROTEGER]) - SUMPRODUCT(N([ID]=1), [APLICAÇÃO])</f>
        <v>152746601.23599997</v>
      </c>
      <c r="I67" s="2">
        <f>[APLICAÇÃO]+[REINVESTIR]</f>
        <v>21795292.880999997</v>
      </c>
      <c r="J67" s="10">
        <f>[REAPLICAR] / [RF]</f>
        <v>0.14268921668067328</v>
      </c>
    </row>
    <row r="68" spans="1:10">
      <c r="A68" s="15">
        <v>67</v>
      </c>
      <c r="B68" s="2"/>
      <c r="C68" s="8">
        <v>21795292.879999999</v>
      </c>
      <c r="D68" s="2">
        <f>ROUND([APLICAÇÃO] * 85%, 2)</f>
        <v>18525998.949999999</v>
      </c>
      <c r="E68" s="8">
        <f>[LUCRO LÍQ] * 20%</f>
        <v>3705199.79</v>
      </c>
      <c r="F68" s="8">
        <f>[LUCRO LÍQ] - [SALÁRIO] - [PROTEGER]</f>
        <v>1852599.8950000014</v>
      </c>
      <c r="G68" s="8">
        <f>[LUCRO LÍQ] * 70%</f>
        <v>12968199.264999999</v>
      </c>
      <c r="H68" s="8">
        <f>SUMPRODUCT(N([ID]=1), [RENDA FIXA]) + SUMPRODUCT(N([ID]&lt;=Tabela13[[#This Row],[ID]]), [PROTEGER]) - SUMPRODUCT(N([ID]=1), [APLICAÇÃO])</f>
        <v>165714800.50099996</v>
      </c>
      <c r="I68" s="2">
        <f>[APLICAÇÃO]+[REINVESTIR]</f>
        <v>23647892.774999999</v>
      </c>
      <c r="J68" s="10">
        <f>[REAPLICAR] / [RF]</f>
        <v>0.14270235792763303</v>
      </c>
    </row>
    <row r="69" spans="1:10">
      <c r="A69" s="15">
        <v>68</v>
      </c>
      <c r="B69" s="2"/>
      <c r="C69" s="8">
        <v>23647892.780000001</v>
      </c>
      <c r="D69" s="2">
        <f>ROUND([APLICAÇÃO] * 85%, 2)</f>
        <v>20100708.859999999</v>
      </c>
      <c r="E69" s="8">
        <f>[LUCRO LÍQ] * 20%</f>
        <v>4020141.7719999999</v>
      </c>
      <c r="F69" s="8">
        <f>[LUCRO LÍQ] - [SALÁRIO] - [PROTEGER]</f>
        <v>2010070.8859999999</v>
      </c>
      <c r="G69" s="8">
        <f>[LUCRO LÍQ] * 70%</f>
        <v>14070496.202</v>
      </c>
      <c r="H69" s="8">
        <f>SUMPRODUCT(N([ID]=1), [RENDA FIXA]) + SUMPRODUCT(N([ID]&lt;=Tabela13[[#This Row],[ID]]), [PROTEGER]) - SUMPRODUCT(N([ID]=1), [APLICAÇÃO])</f>
        <v>179785296.70299995</v>
      </c>
      <c r="I69" s="2">
        <f>[APLICAÇÃO]+[REINVESTIR]</f>
        <v>25657963.666000001</v>
      </c>
      <c r="J69" s="10">
        <f>[REAPLICAR] / [RF]</f>
        <v>0.14271447185353653</v>
      </c>
    </row>
    <row r="70" spans="1:10">
      <c r="A70" s="15">
        <v>69</v>
      </c>
      <c r="B70" s="2"/>
      <c r="C70" s="8">
        <v>25657963.670000002</v>
      </c>
      <c r="D70" s="2">
        <f>ROUND([APLICAÇÃO] * 85%, 2)</f>
        <v>21809269.120000001</v>
      </c>
      <c r="E70" s="8">
        <f>[LUCRO LÍQ] * 20%</f>
        <v>4361853.824</v>
      </c>
      <c r="F70" s="8">
        <f>[LUCRO LÍQ] - [SALÁRIO] - [PROTEGER]</f>
        <v>2180926.9120000005</v>
      </c>
      <c r="G70" s="8">
        <f>[LUCRO LÍQ] * 70%</f>
        <v>15266488.384</v>
      </c>
      <c r="H70" s="8">
        <f>SUMPRODUCT(N([ID]=1), [RENDA FIXA]) + SUMPRODUCT(N([ID]&lt;=Tabela13[[#This Row],[ID]]), [PROTEGER]) - SUMPRODUCT(N([ID]=1), [APLICAÇÃO])</f>
        <v>195051785.08699995</v>
      </c>
      <c r="I70" s="2">
        <f>[APLICAÇÃO]+[REINVESTIR]</f>
        <v>27838890.582000002</v>
      </c>
      <c r="J70" s="10">
        <f>[REAPLICAR] / [RF]</f>
        <v>0.14272563857635487</v>
      </c>
    </row>
    <row r="71" spans="1:10">
      <c r="A71" s="15">
        <v>70</v>
      </c>
      <c r="B71" s="2"/>
      <c r="C71" s="8">
        <v>27838890.579999998</v>
      </c>
      <c r="D71" s="2">
        <f>ROUND([APLICAÇÃO] * 85%, 2)</f>
        <v>23663056.989999998</v>
      </c>
      <c r="E71" s="8">
        <f>[LUCRO LÍQ] * 20%</f>
        <v>4732611.398</v>
      </c>
      <c r="F71" s="8">
        <f>[LUCRO LÍQ] - [SALÁRIO] - [PROTEGER]</f>
        <v>2366305.6990000028</v>
      </c>
      <c r="G71" s="8">
        <f>[LUCRO LÍQ] * 70%</f>
        <v>16564139.892999997</v>
      </c>
      <c r="H71" s="8">
        <f>SUMPRODUCT(N([ID]=1), [RENDA FIXA]) + SUMPRODUCT(N([ID]&lt;=Tabela13[[#This Row],[ID]]), [PROTEGER]) - SUMPRODUCT(N([ID]=1), [APLICAÇÃO])</f>
        <v>211615924.97999996</v>
      </c>
      <c r="I71" s="2">
        <f>[APLICAÇÃO]+[REINVESTIR]</f>
        <v>30205196.278999999</v>
      </c>
      <c r="J71" s="10">
        <f>[REAPLICAR] / [RF]</f>
        <v>0.14273593200443077</v>
      </c>
    </row>
    <row r="72" spans="1:10">
      <c r="A72" s="15">
        <v>71</v>
      </c>
      <c r="B72" s="2"/>
      <c r="C72" s="8">
        <v>30205196.280000001</v>
      </c>
      <c r="D72" s="2">
        <f>ROUND([APLICAÇÃO] * 85%, 2)</f>
        <v>25674416.84</v>
      </c>
      <c r="E72" s="8">
        <f>[LUCRO LÍQ] * 20%</f>
        <v>5134883.3680000007</v>
      </c>
      <c r="F72" s="8">
        <f>[LUCRO LÍQ] - [SALÁRIO] - [PROTEGER]</f>
        <v>2567441.6840000004</v>
      </c>
      <c r="G72" s="8">
        <f>[LUCRO LÍQ] * 70%</f>
        <v>17972091.787999999</v>
      </c>
      <c r="H72" s="8">
        <f>SUMPRODUCT(N([ID]=1), [RENDA FIXA]) + SUMPRODUCT(N([ID]&lt;=Tabela13[[#This Row],[ID]]), [PROTEGER]) - SUMPRODUCT(N([ID]=1), [APLICAÇÃO])</f>
        <v>229588016.76799995</v>
      </c>
      <c r="I72" s="2">
        <f>[APLICAÇÃO]+[REINVESTIR]</f>
        <v>32772637.964000002</v>
      </c>
      <c r="J72" s="10">
        <f>[REAPLICAR] / [RF]</f>
        <v>0.14274542036362875</v>
      </c>
    </row>
    <row r="73" spans="1:10">
      <c r="A73" s="15">
        <v>72</v>
      </c>
      <c r="B73" s="2"/>
      <c r="C73" s="8">
        <v>32772637.960000001</v>
      </c>
      <c r="D73" s="2">
        <f>ROUND([APLICAÇÃO] * 85%, 2)</f>
        <v>27856742.27</v>
      </c>
      <c r="E73" s="8">
        <f>[LUCRO LÍQ] * 20%</f>
        <v>5571348.4539999999</v>
      </c>
      <c r="F73" s="8">
        <f>[LUCRO LÍQ] - [SALÁRIO] - [PROTEGER]</f>
        <v>2785674.2270000018</v>
      </c>
      <c r="G73" s="8">
        <f>[LUCRO LÍQ] * 70%</f>
        <v>19499719.588999998</v>
      </c>
      <c r="H73" s="8">
        <f>SUMPRODUCT(N([ID]=1), [RENDA FIXA]) + SUMPRODUCT(N([ID]&lt;=Tabela13[[#This Row],[ID]]), [PROTEGER]) - SUMPRODUCT(N([ID]=1), [APLICAÇÃO])</f>
        <v>249087736.35699993</v>
      </c>
      <c r="I73" s="2">
        <f>[APLICAÇÃO]+[REINVESTIR]</f>
        <v>35558312.187000006</v>
      </c>
      <c r="J73" s="10">
        <f>[REAPLICAR] / [RF]</f>
        <v>0.14275416649190942</v>
      </c>
    </row>
    <row r="74" spans="1:10">
      <c r="A74" s="15">
        <v>73</v>
      </c>
      <c r="B74" s="2"/>
      <c r="C74" s="8">
        <v>35558312.189999998</v>
      </c>
      <c r="D74" s="2">
        <f>ROUND([APLICAÇÃO] * 85%, 2)</f>
        <v>30224565.359999999</v>
      </c>
      <c r="E74" s="8">
        <f>[LUCRO LÍQ] * 20%</f>
        <v>6044913.0720000006</v>
      </c>
      <c r="F74" s="8">
        <f>[LUCRO LÍQ] - [SALÁRIO] - [PROTEGER]</f>
        <v>3022456.5360000022</v>
      </c>
      <c r="G74" s="8">
        <f>[LUCRO LÍQ] * 70%</f>
        <v>21157195.751999997</v>
      </c>
      <c r="H74" s="8">
        <f>SUMPRODUCT(N([ID]=1), [RENDA FIXA]) + SUMPRODUCT(N([ID]&lt;=Tabela13[[#This Row],[ID]]), [PROTEGER]) - SUMPRODUCT(N([ID]=1), [APLICAÇÃO])</f>
        <v>270244932.10899991</v>
      </c>
      <c r="I74" s="2">
        <f>[APLICAÇÃO]+[REINVESTIR]</f>
        <v>38580768.725999996</v>
      </c>
      <c r="J74" s="10">
        <f>[REAPLICAR] / [RF]</f>
        <v>0.14276222841595759</v>
      </c>
    </row>
    <row r="75" spans="1:10">
      <c r="A75" s="15">
        <v>74</v>
      </c>
      <c r="B75" s="2"/>
      <c r="C75" s="8">
        <v>38580768.729999997</v>
      </c>
      <c r="D75" s="2">
        <f>ROUND([APLICAÇÃO] * 85%, 2)</f>
        <v>32793653.420000002</v>
      </c>
      <c r="E75" s="8">
        <f>[LUCRO LÍQ] * 20%</f>
        <v>6558730.6840000004</v>
      </c>
      <c r="F75" s="8">
        <f>[LUCRO LÍQ] - [SALÁRIO] - [PROTEGER]</f>
        <v>3279365.3420000002</v>
      </c>
      <c r="G75" s="8">
        <f>[LUCRO LÍQ] * 70%</f>
        <v>22955557.394000001</v>
      </c>
      <c r="H75" s="8">
        <f>SUMPRODUCT(N([ID]=1), [RENDA FIXA]) + SUMPRODUCT(N([ID]&lt;=Tabela13[[#This Row],[ID]]), [PROTEGER]) - SUMPRODUCT(N([ID]=1), [APLICAÇÃO])</f>
        <v>293200489.5029999</v>
      </c>
      <c r="I75" s="2">
        <f>[APLICAÇÃO]+[REINVESTIR]</f>
        <v>41860134.071999997</v>
      </c>
      <c r="J75" s="10">
        <f>[REAPLICAR] / [RF]</f>
        <v>0.1427696595696567</v>
      </c>
    </row>
    <row r="76" spans="1:10">
      <c r="A76" s="15">
        <v>75</v>
      </c>
      <c r="B76" s="2"/>
      <c r="C76" s="8">
        <v>41860134.07</v>
      </c>
      <c r="D76" s="2">
        <f>ROUND([APLICAÇÃO] * 85%, 2)</f>
        <v>35581113.960000001</v>
      </c>
      <c r="E76" s="8">
        <f>[LUCRO LÍQ] * 20%</f>
        <v>7116222.7920000004</v>
      </c>
      <c r="F76" s="8">
        <f>[LUCRO LÍQ] - [SALÁRIO] - [PROTEGER]</f>
        <v>3558111.3960000016</v>
      </c>
      <c r="G76" s="8">
        <f>[LUCRO LÍQ] * 70%</f>
        <v>24906779.772</v>
      </c>
      <c r="H76" s="8">
        <f>SUMPRODUCT(N([ID]=1), [RENDA FIXA]) + SUMPRODUCT(N([ID]&lt;=Tabela13[[#This Row],[ID]]), [PROTEGER]) - SUMPRODUCT(N([ID]=1), [APLICAÇÃO])</f>
        <v>318107269.27499992</v>
      </c>
      <c r="I76" s="2">
        <f>[APLICAÇÃO]+[REINVESTIR]</f>
        <v>45418245.466000006</v>
      </c>
      <c r="J76" s="10">
        <f>[REAPLICAR] / [RF]</f>
        <v>0.14277650922442919</v>
      </c>
    </row>
    <row r="77" spans="1:10">
      <c r="A77" s="15">
        <v>76</v>
      </c>
      <c r="B77" s="3"/>
      <c r="C77" s="9">
        <v>45418245.469999999</v>
      </c>
      <c r="D77" s="3">
        <f>ROUND([APLICAÇÃO] * 85%, 2)</f>
        <v>38605508.649999999</v>
      </c>
      <c r="E77" s="9">
        <f>[LUCRO LÍQ] * 20%</f>
        <v>7721101.7300000004</v>
      </c>
      <c r="F77" s="9">
        <f>[LUCRO LÍQ] - [SALÁRIO] - [PROTEGER]</f>
        <v>3860550.8650000021</v>
      </c>
      <c r="G77" s="9">
        <f>[LUCRO LÍQ] * 70%</f>
        <v>27023856.054999996</v>
      </c>
      <c r="H77" s="9">
        <f>SUMPRODUCT(N([ID]=1), [RENDA FIXA]) + SUMPRODUCT(N([ID]&lt;=Tabela13[[#This Row],[ID]]), [PROTEGER]) - SUMPRODUCT(N([ID]=1), [APLICAÇÃO])</f>
        <v>345131125.32999992</v>
      </c>
      <c r="I77" s="3">
        <f>[APLICAÇÃO]+[REINVESTIR]</f>
        <v>49278796.335000001</v>
      </c>
      <c r="J77" s="20">
        <f>[REAPLICAR] / [RF]</f>
        <v>0.14278282287024005</v>
      </c>
    </row>
    <row r="78" spans="1:10">
      <c r="A78" s="15">
        <v>77</v>
      </c>
      <c r="B78" s="2"/>
      <c r="C78" s="8">
        <v>49278796.340000004</v>
      </c>
      <c r="D78" s="2">
        <f>ROUND([APLICAÇÃO] * 85%, 2)</f>
        <v>41886976.890000001</v>
      </c>
      <c r="E78" s="8">
        <f>[LUCRO LÍQ] * 20%</f>
        <v>8377395.3780000005</v>
      </c>
      <c r="F78" s="8">
        <f>[LUCRO LÍQ] - [SALÁRIO] - [PROTEGER]</f>
        <v>4188697.689000003</v>
      </c>
      <c r="G78" s="8">
        <f>[LUCRO LÍQ] * 70%</f>
        <v>29320883.822999999</v>
      </c>
      <c r="H78" s="8">
        <f>SUMPRODUCT(N([ID]=1), [RENDA FIXA]) + SUMPRODUCT(N([ID]&lt;=Tabela13[[#This Row],[ID]]), [PROTEGER]) - SUMPRODUCT(N([ID]=1), [APLICAÇÃO])</f>
        <v>374452009.15299994</v>
      </c>
      <c r="I78" s="2">
        <f>[APLICAÇÃO]+[REINVESTIR]</f>
        <v>53467494.029000007</v>
      </c>
      <c r="J78" s="10">
        <f>[REAPLICAR] / [RF]</f>
        <v>0.14278864239490127</v>
      </c>
    </row>
    <row r="79" spans="1:10">
      <c r="A79" s="15">
        <v>78</v>
      </c>
      <c r="B79" s="3"/>
      <c r="C79" s="9">
        <v>53467494.030000001</v>
      </c>
      <c r="D79" s="3">
        <f>ROUND([APLICAÇÃO] * 85%, 2)</f>
        <v>45447369.93</v>
      </c>
      <c r="E79" s="9">
        <f>[LUCRO LÍQ] * 20%</f>
        <v>9089473.9859999996</v>
      </c>
      <c r="F79" s="9">
        <f>[LUCRO LÍQ] - [SALÁRIO] - [PROTEGER]</f>
        <v>4544736.9930000007</v>
      </c>
      <c r="G79" s="9">
        <f>[LUCRO LÍQ] * 70%</f>
        <v>31813158.950999998</v>
      </c>
      <c r="H79" s="9">
        <f>SUMPRODUCT(N([ID]=1), [RENDA FIXA]) + SUMPRODUCT(N([ID]&lt;=Tabela13[[#This Row],[ID]]), [PROTEGER]) - SUMPRODUCT(N([ID]=1), [APLICAÇÃO])</f>
        <v>406265168.10399991</v>
      </c>
      <c r="I79" s="3">
        <f>[APLICAÇÃO]+[REINVESTIR]</f>
        <v>58012231.023000002</v>
      </c>
      <c r="J79" s="20">
        <f>[REAPLICAR] / [RF]</f>
        <v>0.14279400642131701</v>
      </c>
    </row>
    <row r="80" spans="1:10">
      <c r="A80" s="15">
        <v>79</v>
      </c>
      <c r="B80" s="2"/>
      <c r="C80" s="8">
        <v>58012231.020000003</v>
      </c>
      <c r="D80" s="2">
        <f>ROUND([APLICAÇÃO] * 85%, 2)</f>
        <v>49310396.369999997</v>
      </c>
      <c r="E80" s="8">
        <f>[LUCRO LÍQ] * 20%</f>
        <v>9862079.2740000002</v>
      </c>
      <c r="F80" s="8">
        <f>[LUCRO LÍQ] - [SALÁRIO] - [PROTEGER]</f>
        <v>4931039.637000002</v>
      </c>
      <c r="G80" s="8">
        <f>[LUCRO LÍQ] * 70%</f>
        <v>34517277.458999999</v>
      </c>
      <c r="H80" s="8">
        <f>SUMPRODUCT(N([ID]=1), [RENDA FIXA]) + SUMPRODUCT(N([ID]&lt;=Tabela13[[#This Row],[ID]]), [PROTEGER]) - SUMPRODUCT(N([ID]=1), [APLICAÇÃO])</f>
        <v>440782445.5629999</v>
      </c>
      <c r="I80" s="2">
        <f>[APLICAÇÃO]+[REINVESTIR]</f>
        <v>62943270.657000005</v>
      </c>
      <c r="J80" s="10">
        <f>[REAPLICAR] / [RF]</f>
        <v>0.1427989505720996</v>
      </c>
    </row>
    <row r="81" spans="1:10">
      <c r="A81" s="15">
        <v>80</v>
      </c>
      <c r="B81" s="3"/>
      <c r="C81" s="9">
        <v>62943270.659999996</v>
      </c>
      <c r="D81" s="3">
        <f>ROUND([APLICAÇÃO] * 85%, 2)</f>
        <v>53501780.060000002</v>
      </c>
      <c r="E81" s="9">
        <f>[LUCRO LÍQ] * 20%</f>
        <v>10700356.012000002</v>
      </c>
      <c r="F81" s="9">
        <f>[LUCRO LÍQ] - [SALÁRIO] - [PROTEGER]</f>
        <v>5350178.0060000047</v>
      </c>
      <c r="G81" s="9">
        <f>[LUCRO LÍQ] * 70%</f>
        <v>37451246.041999996</v>
      </c>
      <c r="H81" s="9">
        <f>SUMPRODUCT(N([ID]=1), [RENDA FIXA]) + SUMPRODUCT(N([ID]&lt;=Tabela13[[#This Row],[ID]]), [PROTEGER]) - SUMPRODUCT(N([ID]=1), [APLICAÇÃO])</f>
        <v>478233691.6049999</v>
      </c>
      <c r="I81" s="3">
        <f>[APLICAÇÃO]+[REINVESTIR]</f>
        <v>68293448.666000009</v>
      </c>
      <c r="J81" s="20">
        <f>[REAPLICAR] / [RF]</f>
        <v>0.1428035077093803</v>
      </c>
    </row>
    <row r="82" spans="1:10">
      <c r="B82" s="1" t="s">
        <v>2</v>
      </c>
      <c r="E82" s="7">
        <f>SUBTOTAL(109,[SALÁRIO])</f>
        <v>136356769.03</v>
      </c>
      <c r="G82" s="7"/>
      <c r="H82" s="7">
        <f>SUBTOTAL(104,[RF])</f>
        <v>478233691.6049999</v>
      </c>
      <c r="I82" s="1">
        <f>SUBTOTAL(103,[REAPLICAR])</f>
        <v>80</v>
      </c>
      <c r="J82" s="1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>
      <selection activeCell="C4" sqref="C4"/>
    </sheetView>
  </sheetViews>
  <sheetFormatPr defaultRowHeight="11.25"/>
  <cols>
    <col min="1" max="1" width="4.5703125" style="6" bestFit="1" customWidth="1"/>
    <col min="2" max="2" width="12.85546875" style="1" bestFit="1" customWidth="1"/>
    <col min="3" max="4" width="13.85546875" style="1" bestFit="1" customWidth="1"/>
    <col min="5" max="5" width="14.7109375" style="1" bestFit="1" customWidth="1"/>
    <col min="6" max="6" width="12" style="1" bestFit="1" customWidth="1"/>
    <col min="7" max="7" width="13.85546875" style="1" bestFit="1" customWidth="1"/>
    <col min="8" max="8" width="14.7109375" style="1" bestFit="1" customWidth="1"/>
    <col min="9" max="9" width="13.85546875" style="1" bestFit="1" customWidth="1"/>
    <col min="10" max="10" width="12.85546875" style="10" bestFit="1" customWidth="1"/>
    <col min="11" max="11" width="11.5703125" style="1" bestFit="1" customWidth="1"/>
    <col min="12" max="12" width="14.7109375" style="1" bestFit="1" customWidth="1"/>
    <col min="13" max="16384" width="9.140625" style="1"/>
  </cols>
  <sheetData>
    <row r="1" spans="1:17">
      <c r="A1" s="4" t="s">
        <v>9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5</v>
      </c>
      <c r="I1" s="1" t="s">
        <v>7</v>
      </c>
      <c r="J1" s="1" t="s">
        <v>6</v>
      </c>
      <c r="K1" s="1" t="s">
        <v>8</v>
      </c>
      <c r="L1" s="10" t="s">
        <v>10</v>
      </c>
      <c r="N1" s="2"/>
      <c r="O1" s="10"/>
      <c r="Q1" s="10"/>
    </row>
    <row r="2" spans="1:17">
      <c r="A2" s="5">
        <v>1</v>
      </c>
      <c r="B2" s="2">
        <v>100000</v>
      </c>
      <c r="C2" s="2">
        <v>10000</v>
      </c>
      <c r="D2" s="2">
        <f>ROUND([APLICAÇÃO] * 85%, 2)</f>
        <v>8500</v>
      </c>
      <c r="E2" s="2">
        <f>[LUCRO LÍQ] * 40%</f>
        <v>3400</v>
      </c>
      <c r="F2" s="2">
        <f>[SALÁRIO] * 20%</f>
        <v>680</v>
      </c>
      <c r="G2" s="2">
        <f>[SALÁRIO]-[20% SALÁRIO]</f>
        <v>2720</v>
      </c>
      <c r="H2" s="2">
        <f>[LUCRO LÍQ] - [SALÁRIO] - [PROTEGER] + [20% SALÁRIO]</f>
        <v>1700</v>
      </c>
      <c r="I2" s="2">
        <f>([LUCRO LÍQ] - [SALÁRIO]) * 80%</f>
        <v>4080</v>
      </c>
      <c r="J2" s="2">
        <f>SUMPRODUCT(N([ID]=1), [RENDA FIXA]) + SUMPRODUCT(N([ID]&lt;=Tabela134[[#This Row],[ID]]), [PROTEGER]) - SUMPRODUCT(N([ID]=1), [APLICAÇÃO])</f>
        <v>94080</v>
      </c>
      <c r="K2" s="2">
        <f>[APLICAÇÃO]+[REINVESTIR]</f>
        <v>11700</v>
      </c>
      <c r="L2" s="10">
        <f>[REAPLICAR] / [RF]</f>
        <v>0.12436224489795919</v>
      </c>
      <c r="N2" s="2"/>
    </row>
    <row r="3" spans="1:17">
      <c r="A3" s="5">
        <v>2</v>
      </c>
      <c r="B3" s="2"/>
      <c r="C3" s="2">
        <v>0</v>
      </c>
      <c r="D3" s="2">
        <f>ROUND([APLICAÇÃO] * 85%, 2)</f>
        <v>0</v>
      </c>
      <c r="E3" s="2">
        <f>[LUCRO LÍQ] * 40%</f>
        <v>0</v>
      </c>
      <c r="F3" s="2">
        <f>[SALÁRIO] * 20%</f>
        <v>0</v>
      </c>
      <c r="G3" s="2">
        <f>[SALÁRIO]-[20% SALÁRIO]</f>
        <v>0</v>
      </c>
      <c r="H3" s="2">
        <f>[LUCRO LÍQ] - [SALÁRIO] - [PROTEGER] + [20% SALÁRIO]</f>
        <v>0</v>
      </c>
      <c r="I3" s="2">
        <f>([LUCRO LÍQ] - [SALÁRIO]) * 80%</f>
        <v>0</v>
      </c>
      <c r="J3" s="2">
        <f>SUMPRODUCT(N([ID]=1), [RENDA FIXA]) + SUMPRODUCT(N([ID]&lt;=Tabela134[[#This Row],[ID]]), [PROTEGER]) - SUMPRODUCT(N([ID]=1), [APLICAÇÃO])</f>
        <v>94080</v>
      </c>
      <c r="K3" s="2">
        <f>[APLICAÇÃO]+[REINVESTIR]</f>
        <v>0</v>
      </c>
      <c r="L3" s="10">
        <f>[REAPLICAR] / [RF]</f>
        <v>0</v>
      </c>
      <c r="N3" s="2"/>
    </row>
    <row r="4" spans="1:17">
      <c r="A4" s="5">
        <v>3</v>
      </c>
      <c r="B4" s="3"/>
      <c r="C4" s="3">
        <v>0</v>
      </c>
      <c r="D4" s="3">
        <f>ROUND([APLICAÇÃO] * 85%, 2)</f>
        <v>0</v>
      </c>
      <c r="E4" s="3">
        <f>[LUCRO LÍQ] * 40%</f>
        <v>0</v>
      </c>
      <c r="F4" s="3">
        <f>[SALÁRIO] * 20%</f>
        <v>0</v>
      </c>
      <c r="G4" s="3">
        <f>[SALÁRIO]-[20% SALÁRIO]</f>
        <v>0</v>
      </c>
      <c r="H4" s="3">
        <f>[LUCRO LÍQ] - [SALÁRIO] - [PROTEGER] + [20% SALÁRIO]</f>
        <v>0</v>
      </c>
      <c r="I4" s="3">
        <f>([LUCRO LÍQ] - [SALÁRIO]) * 80%</f>
        <v>0</v>
      </c>
      <c r="J4" s="3">
        <f>SUMPRODUCT(N([ID]=1), [RENDA FIXA]) + SUMPRODUCT(N([ID]&lt;=Tabela134[[#This Row],[ID]]), [PROTEGER]) - SUMPRODUCT(N([ID]=1), [APLICAÇÃO])</f>
        <v>94080</v>
      </c>
      <c r="K4" s="3">
        <f>[APLICAÇÃO]+[REINVESTIR]</f>
        <v>0</v>
      </c>
      <c r="L4" s="10">
        <f>[REAPLICAR] / [RF]</f>
        <v>0</v>
      </c>
      <c r="N4" s="19"/>
    </row>
    <row r="5" spans="1:17">
      <c r="A5" s="5">
        <v>4</v>
      </c>
      <c r="B5" s="12"/>
      <c r="C5" s="13">
        <v>0</v>
      </c>
      <c r="D5" s="12">
        <f>ROUND([APLICAÇÃO] * 85%, 2)</f>
        <v>0</v>
      </c>
      <c r="E5" s="13">
        <f>[LUCRO LÍQ] * 40%</f>
        <v>0</v>
      </c>
      <c r="F5" s="13">
        <f>[SALÁRIO] * 20%</f>
        <v>0</v>
      </c>
      <c r="G5" s="13">
        <f>[SALÁRIO]-[20% SALÁRIO]</f>
        <v>0</v>
      </c>
      <c r="H5" s="13">
        <f>[LUCRO LÍQ] - [SALÁRIO] - [PROTEGER] + [20% SALÁRIO]</f>
        <v>0</v>
      </c>
      <c r="I5" s="13">
        <f>([LUCRO LÍQ] - [SALÁRIO]) * 80%</f>
        <v>0</v>
      </c>
      <c r="J5" s="13">
        <f>SUMPRODUCT(N([ID]=1), [RENDA FIXA]) + SUMPRODUCT(N([ID]&lt;=Tabela134[[#This Row],[ID]]), [PROTEGER]) - SUMPRODUCT(N([ID]=1), [APLICAÇÃO])</f>
        <v>94080</v>
      </c>
      <c r="K5" s="12">
        <f>[APLICAÇÃO]+[REINVESTIR]</f>
        <v>0</v>
      </c>
      <c r="L5" s="14">
        <f>[REAPLICAR] / [RF]</f>
        <v>0</v>
      </c>
    </row>
    <row r="6" spans="1:17">
      <c r="A6" s="5">
        <v>5</v>
      </c>
      <c r="B6" s="12"/>
      <c r="C6" s="13">
        <v>0</v>
      </c>
      <c r="D6" s="12">
        <f>ROUND([APLICAÇÃO] * 85%, 2)</f>
        <v>0</v>
      </c>
      <c r="E6" s="13">
        <f>[LUCRO LÍQ] * 40%</f>
        <v>0</v>
      </c>
      <c r="F6" s="13">
        <f>[SALÁRIO] * 20%</f>
        <v>0</v>
      </c>
      <c r="G6" s="13">
        <f>[SALÁRIO]-[20% SALÁRIO]</f>
        <v>0</v>
      </c>
      <c r="H6" s="13">
        <f>[LUCRO LÍQ] - [SALÁRIO] - [PROTEGER] + [20% SALÁRIO]</f>
        <v>0</v>
      </c>
      <c r="I6" s="13">
        <f>([LUCRO LÍQ] - [SALÁRIO]) * 80%</f>
        <v>0</v>
      </c>
      <c r="J6" s="13">
        <f>SUMPRODUCT(N([ID]=1), [RENDA FIXA]) + SUMPRODUCT(N([ID]&lt;=Tabela134[[#This Row],[ID]]), [PROTEGER]) - SUMPRODUCT(N([ID]=1), [APLICAÇÃO])</f>
        <v>94080</v>
      </c>
      <c r="K6" s="12">
        <f>[APLICAÇÃO]+[REINVESTIR]</f>
        <v>0</v>
      </c>
      <c r="L6" s="14">
        <f>[REAPLICAR] / [RF]</f>
        <v>0</v>
      </c>
    </row>
    <row r="7" spans="1:17">
      <c r="A7" s="5">
        <v>6</v>
      </c>
      <c r="B7" s="12"/>
      <c r="C7" s="13">
        <v>0</v>
      </c>
      <c r="D7" s="12">
        <f>ROUND([APLICAÇÃO] * 85%, 2)</f>
        <v>0</v>
      </c>
      <c r="E7" s="13">
        <f>[LUCRO LÍQ] * 40%</f>
        <v>0</v>
      </c>
      <c r="F7" s="13">
        <f>[SALÁRIO] * 20%</f>
        <v>0</v>
      </c>
      <c r="G7" s="13">
        <f>[SALÁRIO]-[20% SALÁRIO]</f>
        <v>0</v>
      </c>
      <c r="H7" s="13">
        <f>[LUCRO LÍQ] - [SALÁRIO] - [PROTEGER] + [20% SALÁRIO]</f>
        <v>0</v>
      </c>
      <c r="I7" s="13">
        <f>([LUCRO LÍQ] - [SALÁRIO]) * 80%</f>
        <v>0</v>
      </c>
      <c r="J7" s="13">
        <f>SUMPRODUCT(N([ID]=1), [RENDA FIXA]) + SUMPRODUCT(N([ID]&lt;=Tabela134[[#This Row],[ID]]), [PROTEGER]) - SUMPRODUCT(N([ID]=1), [APLICAÇÃO])</f>
        <v>94080</v>
      </c>
      <c r="K7" s="12">
        <f>[APLICAÇÃO]+[REINVESTIR]</f>
        <v>0</v>
      </c>
      <c r="L7" s="14">
        <f>[REAPLICAR] / [RF]</f>
        <v>0</v>
      </c>
    </row>
    <row r="8" spans="1:17">
      <c r="A8" s="5">
        <v>7</v>
      </c>
      <c r="B8" s="12"/>
      <c r="C8" s="13">
        <v>0</v>
      </c>
      <c r="D8" s="12">
        <f>ROUND([APLICAÇÃO] * 85%, 2)</f>
        <v>0</v>
      </c>
      <c r="E8" s="13">
        <f>[LUCRO LÍQ] * 40%</f>
        <v>0</v>
      </c>
      <c r="F8" s="13">
        <f>[SALÁRIO] * 20%</f>
        <v>0</v>
      </c>
      <c r="G8" s="13">
        <f>[SALÁRIO]-[20% SALÁRIO]</f>
        <v>0</v>
      </c>
      <c r="H8" s="13">
        <f>[LUCRO LÍQ] - [SALÁRIO] - [PROTEGER] + [20% SALÁRIO]</f>
        <v>0</v>
      </c>
      <c r="I8" s="13">
        <f>([LUCRO LÍQ] - [SALÁRIO]) * 80%</f>
        <v>0</v>
      </c>
      <c r="J8" s="13">
        <f>SUMPRODUCT(N([ID]=1), [RENDA FIXA]) + SUMPRODUCT(N([ID]&lt;=Tabela134[[#This Row],[ID]]), [PROTEGER]) - SUMPRODUCT(N([ID]=1), [APLICAÇÃO])</f>
        <v>94080</v>
      </c>
      <c r="K8" s="12">
        <f>[APLICAÇÃO]+[REINVESTIR]</f>
        <v>0</v>
      </c>
      <c r="L8" s="14">
        <f>[REAPLICAR] / [RF]</f>
        <v>0</v>
      </c>
    </row>
    <row r="9" spans="1:17">
      <c r="A9" s="5">
        <v>8</v>
      </c>
      <c r="B9" s="12"/>
      <c r="C9" s="13">
        <v>0</v>
      </c>
      <c r="D9" s="12">
        <f>ROUND([APLICAÇÃO] * 85%, 2)</f>
        <v>0</v>
      </c>
      <c r="E9" s="13">
        <f>[LUCRO LÍQ] * 40%</f>
        <v>0</v>
      </c>
      <c r="F9" s="13">
        <f>[SALÁRIO] * 20%</f>
        <v>0</v>
      </c>
      <c r="G9" s="13">
        <f>[SALÁRIO]-[20% SALÁRIO]</f>
        <v>0</v>
      </c>
      <c r="H9" s="13">
        <f>[LUCRO LÍQ] - [SALÁRIO] - [PROTEGER] + [20% SALÁRIO]</f>
        <v>0</v>
      </c>
      <c r="I9" s="13">
        <f>([LUCRO LÍQ] - [SALÁRIO]) * 80%</f>
        <v>0</v>
      </c>
      <c r="J9" s="13">
        <f>SUMPRODUCT(N([ID]=1), [RENDA FIXA]) + SUMPRODUCT(N([ID]&lt;=Tabela134[[#This Row],[ID]]), [PROTEGER]) - SUMPRODUCT(N([ID]=1), [APLICAÇÃO])</f>
        <v>94080</v>
      </c>
      <c r="K9" s="12">
        <f>[APLICAÇÃO]+[REINVESTIR]</f>
        <v>0</v>
      </c>
      <c r="L9" s="14">
        <f>[REAPLICAR] / [RF]</f>
        <v>0</v>
      </c>
    </row>
    <row r="10" spans="1:17">
      <c r="A10" s="5">
        <v>9</v>
      </c>
      <c r="B10" s="12"/>
      <c r="C10" s="13">
        <v>0</v>
      </c>
      <c r="D10" s="12">
        <f>ROUND([APLICAÇÃO] * 85%, 2)</f>
        <v>0</v>
      </c>
      <c r="E10" s="13">
        <f>[LUCRO LÍQ] * 40%</f>
        <v>0</v>
      </c>
      <c r="F10" s="13">
        <f>[SALÁRIO] * 20%</f>
        <v>0</v>
      </c>
      <c r="G10" s="13">
        <f>[SALÁRIO]-[20% SALÁRIO]</f>
        <v>0</v>
      </c>
      <c r="H10" s="13">
        <f>[LUCRO LÍQ] - [SALÁRIO] - [PROTEGER] + [20% SALÁRIO]</f>
        <v>0</v>
      </c>
      <c r="I10" s="13">
        <f>([LUCRO LÍQ] - [SALÁRIO]) * 80%</f>
        <v>0</v>
      </c>
      <c r="J10" s="13">
        <f>SUMPRODUCT(N([ID]=1), [RENDA FIXA]) + SUMPRODUCT(N([ID]&lt;=Tabela134[[#This Row],[ID]]), [PROTEGER]) - SUMPRODUCT(N([ID]=1), [APLICAÇÃO])</f>
        <v>94080</v>
      </c>
      <c r="K10" s="12">
        <f>[APLICAÇÃO]+[REINVESTIR]</f>
        <v>0</v>
      </c>
      <c r="L10" s="14">
        <f>[REAPLICAR] / [RF]</f>
        <v>0</v>
      </c>
    </row>
    <row r="11" spans="1:17">
      <c r="A11" s="5">
        <v>10</v>
      </c>
      <c r="B11" s="16"/>
      <c r="C11" s="17">
        <v>0</v>
      </c>
      <c r="D11" s="16">
        <f>ROUND([APLICAÇÃO] * 85%, 2)</f>
        <v>0</v>
      </c>
      <c r="E11" s="17">
        <f>[LUCRO LÍQ] * 40%</f>
        <v>0</v>
      </c>
      <c r="F11" s="17">
        <f>[SALÁRIO] * 20%</f>
        <v>0</v>
      </c>
      <c r="G11" s="17">
        <f>[SALÁRIO]-[20% SALÁRIO]</f>
        <v>0</v>
      </c>
      <c r="H11" s="17">
        <f>[LUCRO LÍQ] - [SALÁRIO] - [PROTEGER] + [20% SALÁRIO]</f>
        <v>0</v>
      </c>
      <c r="I11" s="17">
        <f>([LUCRO LÍQ] - [SALÁRIO]) * 80%</f>
        <v>0</v>
      </c>
      <c r="J11" s="17">
        <f>SUMPRODUCT(N([ID]=1), [RENDA FIXA]) + SUMPRODUCT(N([ID]&lt;=Tabela134[[#This Row],[ID]]), [PROTEGER]) - SUMPRODUCT(N([ID]=1), [APLICAÇÃO])</f>
        <v>94080</v>
      </c>
      <c r="K11" s="16">
        <f>[APLICAÇÃO]+[REINVESTIR]</f>
        <v>0</v>
      </c>
      <c r="L11" s="18">
        <f>[REAPLICAR] / [RF]</f>
        <v>0</v>
      </c>
    </row>
    <row r="12" spans="1:17">
      <c r="A12" s="5">
        <v>11</v>
      </c>
      <c r="B12" s="12"/>
      <c r="C12" s="13">
        <v>0</v>
      </c>
      <c r="D12" s="12">
        <f>ROUND([APLICAÇÃO] * 85%, 2)</f>
        <v>0</v>
      </c>
      <c r="E12" s="13">
        <f>[LUCRO LÍQ] * 40%</f>
        <v>0</v>
      </c>
      <c r="F12" s="13">
        <f>[SALÁRIO] * 20%</f>
        <v>0</v>
      </c>
      <c r="G12" s="13">
        <f>[SALÁRIO]-[20% SALÁRIO]</f>
        <v>0</v>
      </c>
      <c r="H12" s="13">
        <f>[LUCRO LÍQ] - [SALÁRIO] - [PROTEGER] + [20% SALÁRIO]</f>
        <v>0</v>
      </c>
      <c r="I12" s="13">
        <f>([LUCRO LÍQ] - [SALÁRIO]) * 80%</f>
        <v>0</v>
      </c>
      <c r="J12" s="13">
        <f>SUMPRODUCT(N([ID]=1), [RENDA FIXA]) + SUMPRODUCT(N([ID]&lt;=Tabela134[[#This Row],[ID]]), [PROTEGER]) - SUMPRODUCT(N([ID]=1), [APLICAÇÃO])</f>
        <v>94080</v>
      </c>
      <c r="K12" s="12">
        <f>[APLICAÇÃO]+[REINVESTIR]</f>
        <v>0</v>
      </c>
      <c r="L12" s="14">
        <f>[REAPLICAR] / [RF]</f>
        <v>0</v>
      </c>
    </row>
    <row r="13" spans="1:17">
      <c r="A13" s="5">
        <v>12</v>
      </c>
      <c r="B13" s="16"/>
      <c r="C13" s="17">
        <v>0</v>
      </c>
      <c r="D13" s="16">
        <f>ROUND([APLICAÇÃO] * 85%, 2)</f>
        <v>0</v>
      </c>
      <c r="E13" s="17">
        <f>[LUCRO LÍQ] * 40%</f>
        <v>0</v>
      </c>
      <c r="F13" s="17">
        <f>[SALÁRIO] * 20%</f>
        <v>0</v>
      </c>
      <c r="G13" s="17">
        <f>[SALÁRIO]-[20% SALÁRIO]</f>
        <v>0</v>
      </c>
      <c r="H13" s="17">
        <f>[LUCRO LÍQ] - [SALÁRIO] - [PROTEGER] + [20% SALÁRIO]</f>
        <v>0</v>
      </c>
      <c r="I13" s="17">
        <f>([LUCRO LÍQ] - [SALÁRIO]) * 80%</f>
        <v>0</v>
      </c>
      <c r="J13" s="17">
        <f>SUMPRODUCT(N([ID]=1), [RENDA FIXA]) + SUMPRODUCT(N([ID]&lt;=Tabela134[[#This Row],[ID]]), [PROTEGER]) - SUMPRODUCT(N([ID]=1), [APLICAÇÃO])</f>
        <v>94080</v>
      </c>
      <c r="K13" s="16">
        <f>[APLICAÇÃO]+[REINVESTIR]</f>
        <v>0</v>
      </c>
      <c r="L13" s="18">
        <f>[REAPLICAR] / [RF]</f>
        <v>0</v>
      </c>
    </row>
    <row r="14" spans="1:17">
      <c r="A14" s="5">
        <v>13</v>
      </c>
      <c r="B14" s="12"/>
      <c r="C14" s="13">
        <v>0</v>
      </c>
      <c r="D14" s="12">
        <f>ROUND([APLICAÇÃO] * 85%, 2)</f>
        <v>0</v>
      </c>
      <c r="E14" s="13">
        <f>[LUCRO LÍQ] * 40%</f>
        <v>0</v>
      </c>
      <c r="F14" s="13">
        <f>[SALÁRIO] * 20%</f>
        <v>0</v>
      </c>
      <c r="G14" s="13">
        <f>[SALÁRIO]-[20% SALÁRIO]</f>
        <v>0</v>
      </c>
      <c r="H14" s="13">
        <f>[LUCRO LÍQ] - [SALÁRIO] - [PROTEGER] + [20% SALÁRIO]</f>
        <v>0</v>
      </c>
      <c r="I14" s="13">
        <f>([LUCRO LÍQ] - [SALÁRIO]) * 80%</f>
        <v>0</v>
      </c>
      <c r="J14" s="13">
        <f>SUMPRODUCT(N([ID]=1), [RENDA FIXA]) + SUMPRODUCT(N([ID]&lt;=Tabela134[[#This Row],[ID]]), [PROTEGER]) - SUMPRODUCT(N([ID]=1), [APLICAÇÃO])</f>
        <v>94080</v>
      </c>
      <c r="K14" s="12">
        <f>[APLICAÇÃO]+[REINVESTIR]</f>
        <v>0</v>
      </c>
      <c r="L14" s="14">
        <f>[REAPLICAR] / [RF]</f>
        <v>0</v>
      </c>
    </row>
    <row r="15" spans="1:17">
      <c r="A15" s="5">
        <v>14</v>
      </c>
      <c r="B15" s="12"/>
      <c r="C15" s="13">
        <v>0</v>
      </c>
      <c r="D15" s="12">
        <f>ROUND([APLICAÇÃO] * 85%, 2)</f>
        <v>0</v>
      </c>
      <c r="E15" s="13">
        <f>[LUCRO LÍQ] * 40%</f>
        <v>0</v>
      </c>
      <c r="F15" s="13">
        <f>[SALÁRIO] * 20%</f>
        <v>0</v>
      </c>
      <c r="G15" s="13">
        <f>[SALÁRIO]-[20% SALÁRIO]</f>
        <v>0</v>
      </c>
      <c r="H15" s="13">
        <f>[LUCRO LÍQ] - [SALÁRIO] - [PROTEGER] + [20% SALÁRIO]</f>
        <v>0</v>
      </c>
      <c r="I15" s="13">
        <f>([LUCRO LÍQ] - [SALÁRIO]) * 80%</f>
        <v>0</v>
      </c>
      <c r="J15" s="13">
        <f>SUMPRODUCT(N([ID]=1), [RENDA FIXA]) + SUMPRODUCT(N([ID]&lt;=Tabela134[[#This Row],[ID]]), [PROTEGER]) - SUMPRODUCT(N([ID]=1), [APLICAÇÃO])</f>
        <v>94080</v>
      </c>
      <c r="K15" s="12">
        <f>[APLICAÇÃO]+[REINVESTIR]</f>
        <v>0</v>
      </c>
      <c r="L15" s="14">
        <f>[REAPLICAR] / [RF]</f>
        <v>0</v>
      </c>
    </row>
    <row r="16" spans="1:17">
      <c r="A16" s="5">
        <v>15</v>
      </c>
      <c r="B16" s="12"/>
      <c r="C16" s="13">
        <v>0</v>
      </c>
      <c r="D16" s="12">
        <f>ROUND([APLICAÇÃO] * 85%, 2)</f>
        <v>0</v>
      </c>
      <c r="E16" s="13">
        <f>[LUCRO LÍQ] * 40%</f>
        <v>0</v>
      </c>
      <c r="F16" s="13">
        <f>[SALÁRIO] * 20%</f>
        <v>0</v>
      </c>
      <c r="G16" s="13">
        <f>[SALÁRIO]-[20% SALÁRIO]</f>
        <v>0</v>
      </c>
      <c r="H16" s="13">
        <f>[LUCRO LÍQ] - [SALÁRIO] - [PROTEGER] + [20% SALÁRIO]</f>
        <v>0</v>
      </c>
      <c r="I16" s="13">
        <f>([LUCRO LÍQ] - [SALÁRIO]) * 80%</f>
        <v>0</v>
      </c>
      <c r="J16" s="13">
        <f>SUMPRODUCT(N([ID]=1), [RENDA FIXA]) + SUMPRODUCT(N([ID]&lt;=Tabela134[[#This Row],[ID]]), [PROTEGER]) - SUMPRODUCT(N([ID]=1), [APLICAÇÃO])</f>
        <v>94080</v>
      </c>
      <c r="K16" s="12">
        <f>[APLICAÇÃO]+[REINVESTIR]</f>
        <v>0</v>
      </c>
      <c r="L16" s="14">
        <f>[REAPLICAR] / [RF]</f>
        <v>0</v>
      </c>
    </row>
    <row r="17" spans="1:12">
      <c r="A17" s="5">
        <v>16</v>
      </c>
      <c r="B17" s="12"/>
      <c r="C17" s="13">
        <v>0</v>
      </c>
      <c r="D17" s="12">
        <f>ROUND([APLICAÇÃO] * 85%, 2)</f>
        <v>0</v>
      </c>
      <c r="E17" s="13">
        <f>[LUCRO LÍQ] * 40%</f>
        <v>0</v>
      </c>
      <c r="F17" s="13">
        <f>[SALÁRIO] * 20%</f>
        <v>0</v>
      </c>
      <c r="G17" s="13">
        <f>[SALÁRIO]-[20% SALÁRIO]</f>
        <v>0</v>
      </c>
      <c r="H17" s="13">
        <f>[LUCRO LÍQ] - [SALÁRIO] - [PROTEGER] + [20% SALÁRIO]</f>
        <v>0</v>
      </c>
      <c r="I17" s="13">
        <f>([LUCRO LÍQ] - [SALÁRIO]) * 80%</f>
        <v>0</v>
      </c>
      <c r="J17" s="13">
        <f>SUMPRODUCT(N([ID]=1), [RENDA FIXA]) + SUMPRODUCT(N([ID]&lt;=Tabela134[[#This Row],[ID]]), [PROTEGER]) - SUMPRODUCT(N([ID]=1), [APLICAÇÃO])</f>
        <v>94080</v>
      </c>
      <c r="K17" s="12">
        <f>[APLICAÇÃO]+[REINVESTIR]</f>
        <v>0</v>
      </c>
      <c r="L17" s="14">
        <f>[REAPLICAR] / [RF]</f>
        <v>0</v>
      </c>
    </row>
    <row r="18" spans="1:12">
      <c r="A18" s="5">
        <v>17</v>
      </c>
      <c r="B18" s="12"/>
      <c r="C18" s="13">
        <v>0</v>
      </c>
      <c r="D18" s="12">
        <f>ROUND([APLICAÇÃO] * 85%, 2)</f>
        <v>0</v>
      </c>
      <c r="E18" s="13">
        <f>[LUCRO LÍQ] * 40%</f>
        <v>0</v>
      </c>
      <c r="F18" s="13">
        <f>[SALÁRIO] * 20%</f>
        <v>0</v>
      </c>
      <c r="G18" s="13">
        <f>[SALÁRIO]-[20% SALÁRIO]</f>
        <v>0</v>
      </c>
      <c r="H18" s="13">
        <f>[LUCRO LÍQ] - [SALÁRIO] - [PROTEGER] + [20% SALÁRIO]</f>
        <v>0</v>
      </c>
      <c r="I18" s="13">
        <f>([LUCRO LÍQ] - [SALÁRIO]) * 80%</f>
        <v>0</v>
      </c>
      <c r="J18" s="13">
        <f>SUMPRODUCT(N([ID]=1), [RENDA FIXA]) + SUMPRODUCT(N([ID]&lt;=Tabela134[[#This Row],[ID]]), [PROTEGER]) - SUMPRODUCT(N([ID]=1), [APLICAÇÃO])</f>
        <v>94080</v>
      </c>
      <c r="K18" s="12">
        <f>[APLICAÇÃO]+[REINVESTIR]</f>
        <v>0</v>
      </c>
      <c r="L18" s="14">
        <f>[REAPLICAR] / [RF]</f>
        <v>0</v>
      </c>
    </row>
    <row r="19" spans="1:12">
      <c r="A19" s="5">
        <v>18</v>
      </c>
      <c r="B19" s="12"/>
      <c r="C19" s="13">
        <v>0</v>
      </c>
      <c r="D19" s="12">
        <f>ROUND([APLICAÇÃO] * 85%, 2)</f>
        <v>0</v>
      </c>
      <c r="E19" s="13">
        <f>[LUCRO LÍQ] * 40%</f>
        <v>0</v>
      </c>
      <c r="F19" s="13">
        <f>[SALÁRIO] * 20%</f>
        <v>0</v>
      </c>
      <c r="G19" s="13">
        <f>[SALÁRIO]-[20% SALÁRIO]</f>
        <v>0</v>
      </c>
      <c r="H19" s="13">
        <f>[LUCRO LÍQ] - [SALÁRIO] - [PROTEGER] + [20% SALÁRIO]</f>
        <v>0</v>
      </c>
      <c r="I19" s="13">
        <f>([LUCRO LÍQ] - [SALÁRIO]) * 80%</f>
        <v>0</v>
      </c>
      <c r="J19" s="13">
        <f>SUMPRODUCT(N([ID]=1), [RENDA FIXA]) + SUMPRODUCT(N([ID]&lt;=Tabela134[[#This Row],[ID]]), [PROTEGER]) - SUMPRODUCT(N([ID]=1), [APLICAÇÃO])</f>
        <v>94080</v>
      </c>
      <c r="K19" s="12">
        <f>[APLICAÇÃO]+[REINVESTIR]</f>
        <v>0</v>
      </c>
      <c r="L19" s="14">
        <f>[REAPLICAR] / [RF]</f>
        <v>0</v>
      </c>
    </row>
    <row r="20" spans="1:12">
      <c r="A20" s="5">
        <v>19</v>
      </c>
      <c r="B20" s="12"/>
      <c r="C20" s="13">
        <v>0</v>
      </c>
      <c r="D20" s="12">
        <f>ROUND([APLICAÇÃO] * 85%, 2)</f>
        <v>0</v>
      </c>
      <c r="E20" s="13">
        <f>[LUCRO LÍQ] * 40%</f>
        <v>0</v>
      </c>
      <c r="F20" s="13">
        <f>[SALÁRIO] * 20%</f>
        <v>0</v>
      </c>
      <c r="G20" s="13">
        <f>[SALÁRIO]-[20% SALÁRIO]</f>
        <v>0</v>
      </c>
      <c r="H20" s="13">
        <f>[LUCRO LÍQ] - [SALÁRIO] - [PROTEGER] + [20% SALÁRIO]</f>
        <v>0</v>
      </c>
      <c r="I20" s="13">
        <f>([LUCRO LÍQ] - [SALÁRIO]) * 80%</f>
        <v>0</v>
      </c>
      <c r="J20" s="13">
        <f>SUMPRODUCT(N([ID]=1), [RENDA FIXA]) + SUMPRODUCT(N([ID]&lt;=Tabela134[[#This Row],[ID]]), [PROTEGER]) - SUMPRODUCT(N([ID]=1), [APLICAÇÃO])</f>
        <v>94080</v>
      </c>
      <c r="K20" s="12">
        <f>[APLICAÇÃO]+[REINVESTIR]</f>
        <v>0</v>
      </c>
      <c r="L20" s="14">
        <f>[REAPLICAR] / [RF]</f>
        <v>0</v>
      </c>
    </row>
    <row r="21" spans="1:12">
      <c r="A21" s="5">
        <v>20</v>
      </c>
      <c r="B21" s="12"/>
      <c r="C21" s="13">
        <v>0</v>
      </c>
      <c r="D21" s="12">
        <f>ROUND([APLICAÇÃO] * 85%, 2)</f>
        <v>0</v>
      </c>
      <c r="E21" s="13">
        <f>[LUCRO LÍQ] * 40%</f>
        <v>0</v>
      </c>
      <c r="F21" s="13">
        <f>[SALÁRIO] * 20%</f>
        <v>0</v>
      </c>
      <c r="G21" s="13">
        <f>[SALÁRIO]-[20% SALÁRIO]</f>
        <v>0</v>
      </c>
      <c r="H21" s="13">
        <f>[LUCRO LÍQ] - [SALÁRIO] - [PROTEGER] + [20% SALÁRIO]</f>
        <v>0</v>
      </c>
      <c r="I21" s="13">
        <f>([LUCRO LÍQ] - [SALÁRIO]) * 80%</f>
        <v>0</v>
      </c>
      <c r="J21" s="13">
        <f>SUMPRODUCT(N([ID]=1), [RENDA FIXA]) + SUMPRODUCT(N([ID]&lt;=Tabela134[[#This Row],[ID]]), [PROTEGER]) - SUMPRODUCT(N([ID]=1), [APLICAÇÃO])</f>
        <v>94080</v>
      </c>
      <c r="K21" s="12">
        <f>[APLICAÇÃO]+[REINVESTIR]</f>
        <v>0</v>
      </c>
      <c r="L21" s="14">
        <f>[REAPLICAR] / [RF]</f>
        <v>0</v>
      </c>
    </row>
    <row r="22" spans="1:12">
      <c r="A22" s="5">
        <v>21</v>
      </c>
      <c r="B22" s="12"/>
      <c r="C22" s="13">
        <v>0</v>
      </c>
      <c r="D22" s="12">
        <f>ROUND([APLICAÇÃO] * 85%, 2)</f>
        <v>0</v>
      </c>
      <c r="E22" s="13">
        <f>[LUCRO LÍQ] * 40%</f>
        <v>0</v>
      </c>
      <c r="F22" s="13">
        <f>[SALÁRIO] * 20%</f>
        <v>0</v>
      </c>
      <c r="G22" s="13">
        <f>[SALÁRIO]-[20% SALÁRIO]</f>
        <v>0</v>
      </c>
      <c r="H22" s="13">
        <f>[LUCRO LÍQ] - [SALÁRIO] - [PROTEGER] + [20% SALÁRIO]</f>
        <v>0</v>
      </c>
      <c r="I22" s="13">
        <f>([LUCRO LÍQ] - [SALÁRIO]) * 80%</f>
        <v>0</v>
      </c>
      <c r="J22" s="13">
        <f>SUMPRODUCT(N([ID]=1), [RENDA FIXA]) + SUMPRODUCT(N([ID]&lt;=Tabela134[[#This Row],[ID]]), [PROTEGER]) - SUMPRODUCT(N([ID]=1), [APLICAÇÃO])</f>
        <v>94080</v>
      </c>
      <c r="K22" s="12">
        <f>[APLICAÇÃO]+[REINVESTIR]</f>
        <v>0</v>
      </c>
      <c r="L22" s="14">
        <f>[REAPLICAR] / [RF]</f>
        <v>0</v>
      </c>
    </row>
    <row r="23" spans="1:12">
      <c r="A23" s="5">
        <v>22</v>
      </c>
      <c r="B23" s="12"/>
      <c r="C23" s="13">
        <v>0</v>
      </c>
      <c r="D23" s="12">
        <f>ROUND([APLICAÇÃO] * 85%, 2)</f>
        <v>0</v>
      </c>
      <c r="E23" s="13">
        <f>[LUCRO LÍQ] * 40%</f>
        <v>0</v>
      </c>
      <c r="F23" s="13">
        <f>[SALÁRIO] * 20%</f>
        <v>0</v>
      </c>
      <c r="G23" s="13">
        <f>[SALÁRIO]-[20% SALÁRIO]</f>
        <v>0</v>
      </c>
      <c r="H23" s="13">
        <f>[LUCRO LÍQ] - [SALÁRIO] - [PROTEGER] + [20% SALÁRIO]</f>
        <v>0</v>
      </c>
      <c r="I23" s="13">
        <f>([LUCRO LÍQ] - [SALÁRIO]) * 80%</f>
        <v>0</v>
      </c>
      <c r="J23" s="13">
        <f>SUMPRODUCT(N([ID]=1), [RENDA FIXA]) + SUMPRODUCT(N([ID]&lt;=Tabela134[[#This Row],[ID]]), [PROTEGER]) - SUMPRODUCT(N([ID]=1), [APLICAÇÃO])</f>
        <v>94080</v>
      </c>
      <c r="K23" s="12">
        <f>[APLICAÇÃO]+[REINVESTIR]</f>
        <v>0</v>
      </c>
      <c r="L23" s="14">
        <f>[REAPLICAR] / [RF]</f>
        <v>0</v>
      </c>
    </row>
    <row r="24" spans="1:12">
      <c r="A24" s="5">
        <v>23</v>
      </c>
      <c r="B24" s="12"/>
      <c r="C24" s="13">
        <v>0</v>
      </c>
      <c r="D24" s="12">
        <f>ROUND([APLICAÇÃO] * 85%, 2)</f>
        <v>0</v>
      </c>
      <c r="E24" s="13">
        <f>[LUCRO LÍQ] * 40%</f>
        <v>0</v>
      </c>
      <c r="F24" s="13">
        <f>[SALÁRIO] * 20%</f>
        <v>0</v>
      </c>
      <c r="G24" s="13">
        <f>[SALÁRIO]-[20% SALÁRIO]</f>
        <v>0</v>
      </c>
      <c r="H24" s="13">
        <f>[LUCRO LÍQ] - [SALÁRIO] - [PROTEGER] + [20% SALÁRIO]</f>
        <v>0</v>
      </c>
      <c r="I24" s="13">
        <f>([LUCRO LÍQ] - [SALÁRIO]) * 80%</f>
        <v>0</v>
      </c>
      <c r="J24" s="13">
        <f>SUMPRODUCT(N([ID]=1), [RENDA FIXA]) + SUMPRODUCT(N([ID]&lt;=Tabela134[[#This Row],[ID]]), [PROTEGER]) - SUMPRODUCT(N([ID]=1), [APLICAÇÃO])</f>
        <v>94080</v>
      </c>
      <c r="K24" s="12">
        <f>[APLICAÇÃO]+[REINVESTIR]</f>
        <v>0</v>
      </c>
      <c r="L24" s="14">
        <f>[REAPLICAR] / [RF]</f>
        <v>0</v>
      </c>
    </row>
    <row r="25" spans="1:12">
      <c r="A25" s="5">
        <v>24</v>
      </c>
      <c r="B25" s="16"/>
      <c r="C25" s="17">
        <v>0</v>
      </c>
      <c r="D25" s="16">
        <f>ROUND([APLICAÇÃO] * 85%, 2)</f>
        <v>0</v>
      </c>
      <c r="E25" s="17">
        <f>[LUCRO LÍQ] * 40%</f>
        <v>0</v>
      </c>
      <c r="F25" s="17">
        <f>[SALÁRIO] * 20%</f>
        <v>0</v>
      </c>
      <c r="G25" s="17">
        <f>[SALÁRIO]-[20% SALÁRIO]</f>
        <v>0</v>
      </c>
      <c r="H25" s="17">
        <f>[LUCRO LÍQ] - [SALÁRIO] - [PROTEGER] + [20% SALÁRIO]</f>
        <v>0</v>
      </c>
      <c r="I25" s="17">
        <f>([LUCRO LÍQ] - [SALÁRIO]) * 80%</f>
        <v>0</v>
      </c>
      <c r="J25" s="17">
        <f>SUMPRODUCT(N([ID]=1), [RENDA FIXA]) + SUMPRODUCT(N([ID]&lt;=Tabela134[[#This Row],[ID]]), [PROTEGER]) - SUMPRODUCT(N([ID]=1), [APLICAÇÃO])</f>
        <v>94080</v>
      </c>
      <c r="K25" s="16">
        <f>[APLICAÇÃO]+[REINVESTIR]</f>
        <v>0</v>
      </c>
      <c r="L25" s="18">
        <f>[REAPLICAR] / [RF]</f>
        <v>0</v>
      </c>
    </row>
    <row r="26" spans="1:12">
      <c r="A26" s="22"/>
      <c r="B26" s="23" t="s">
        <v>2</v>
      </c>
      <c r="C26" s="23"/>
      <c r="D26" s="23"/>
      <c r="E26" s="21"/>
      <c r="F26" s="21"/>
      <c r="G26" s="21">
        <f>SUBTOTAL(101,[SAL. LIQUIDO])</f>
        <v>113.33333333333333</v>
      </c>
      <c r="H26" s="23"/>
      <c r="I26" s="21"/>
      <c r="J26" s="21">
        <f>SUBTOTAL(104,[RF])</f>
        <v>94080</v>
      </c>
      <c r="K26" s="23">
        <f>SUBTOTAL(103,[REAPLICAR])</f>
        <v>24</v>
      </c>
      <c r="L26" s="2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 MILHAO</vt:lpstr>
      <vt:lpstr>POS MILHAO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2012-07-03T19:09:53Z</dcterms:created>
  <dcterms:modified xsi:type="dcterms:W3CDTF">2012-07-31T20:24:23Z</dcterms:modified>
</cp:coreProperties>
</file>